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niewska\Desktop\PRZETARG GAZ 2022\Pliki ogłoszone w przetargu\"/>
    </mc:Choice>
  </mc:AlternateContent>
  <bookViews>
    <workbookView xWindow="0" yWindow="0" windowWidth="28800" windowHeight="12000" tabRatio="238" activeTab="1"/>
  </bookViews>
  <sheets>
    <sheet name="Ceny" sheetId="2" r:id="rId1"/>
    <sheet name="Zał. 9 do SWZ" sheetId="1" r:id="rId2"/>
    <sheet name="Zał. A" sheetId="3" r:id="rId3"/>
  </sheets>
  <externalReferences>
    <externalReference r:id="rId4"/>
  </externalReferences>
  <definedNames>
    <definedName name="_xlnm._FilterDatabase" localSheetId="1" hidden="1">'Zał. 9 do SWZ'!$D$4:$GN$29</definedName>
    <definedName name="Excel_BuiltIn_Print_Titles_1_1_1">'Zał. 9 do SWZ'!$D$2:$HM$4</definedName>
    <definedName name="Excel_BuiltIn_Print_Titles_1_1_1_1">'Zał. 9 do SWZ'!$D$2:$GM$4</definedName>
    <definedName name="Excel_BuiltIn_Print_Titles_1_1_1_1_1">'Zał. 9 do SWZ'!$D$2:$EC$4</definedName>
    <definedName name="Excel_BuiltIn_Print_Titles_1_1_1_1_1_1">'Zał. 9 do SWZ'!#REF!</definedName>
    <definedName name="Excel_BuiltIn_Print_Titles_1_1_1_1_1_1_1">'Zał. 9 do SWZ'!$D$2:$DP$4</definedName>
    <definedName name="Excel_BuiltIn_Print_Titles_1_1_1_1_1_1_1_1">'Zał. 9 do SWZ'!#REF!</definedName>
    <definedName name="Excel_BuiltIn_Print_Titles_1_1_1_1_1_1_1_1_1">'Zał. 9 do SWZ'!$D$2:$AF$4</definedName>
    <definedName name="Excel_BuiltIn_Print_Titles_1_1_1_1_1_1_1_1_1_1">'Zał. 9 do SWZ'!$D$2:$AF$4</definedName>
    <definedName name="Excel_BuiltIn_Print_Titles_1_1_1_1_1_1_1_1_1_1_1_1_1_1_1_1_1_1">'Zał. 9 do SWZ'!$D$2:$AF$4</definedName>
    <definedName name="Excel_BuiltIn_Print_Titles_1_1_1_1_1_1_1_1_1_1_1_1_1_1_1_1_1_1_1">'Zał. 9 do SWZ'!#REF!</definedName>
    <definedName name="Excel_BuiltIn_Print_Titles_1_1_1_1_1_1_1_1_1_1_1_1_1_1_1_1_1_1_1_1">'Zał. 9 do SWZ'!$D$2:$F$4</definedName>
    <definedName name="Excel_BuiltIn_Print_Titles_1_1_1_1_1_1_1_1_1_1_1_1_1_1_1_1_1_1_1_1_1">'Zał. 9 do SWZ'!$D$2:$AF$4</definedName>
    <definedName name="Excel_BuiltIn_Print_Titles_1_1_1_1_1_1_1_1_1_1_1_1_1_1_1_1_1_1_1_1_1_1">'Zał. 9 do SWZ'!$D$2:$AF$4</definedName>
    <definedName name="Excel_BuiltIn_Print_Titles_1_1_1_1_1_1_1_1_1_1_1_1_1_1_1_1_1_1_1_1_1_1_1">'Zał. 9 do SWZ'!$D$2:$AF$4</definedName>
    <definedName name="Excel_BuiltIn_Print_Titles_1_1_1_1_1_1_1_1_1_1_1_1_1_1_1_1_1_1_1_1_1_1_1_1">'Zał. 9 do SWZ'!$D$2:$D$4</definedName>
    <definedName name="_xlnm.Print_Area" localSheetId="0">Ceny!$A$1:$J$46</definedName>
    <definedName name="_xlnm.Print_Area" localSheetId="1">'Zał. 9 do SWZ'!$C$2:$BM$29</definedName>
    <definedName name="_xlnm.Print_Area" localSheetId="2">'Zał. A'!$C$2:$N$31</definedName>
    <definedName name="_xlnm.Print_Titles" localSheetId="1">'Zał. 9 do SWZ'!$2:$4</definedName>
    <definedName name="_xlnm.Print_Titles" localSheetId="2">'Zał. A'!$4:$6</definedName>
  </definedNames>
  <calcPr calcId="162913"/>
</workbook>
</file>

<file path=xl/calcChain.xml><?xml version="1.0" encoding="utf-8"?>
<calcChain xmlns="http://schemas.openxmlformats.org/spreadsheetml/2006/main">
  <c r="L8" i="3" l="1"/>
  <c r="BM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AI6" i="1"/>
  <c r="Z6" i="1"/>
  <c r="AA6" i="1"/>
  <c r="AB6" i="1"/>
  <c r="AC6" i="1"/>
  <c r="AD6" i="1"/>
  <c r="AE6" i="1"/>
  <c r="AF6" i="1"/>
  <c r="Y6" i="1"/>
  <c r="Y24" i="1" l="1"/>
  <c r="I26" i="3" l="1"/>
  <c r="J26" i="3"/>
  <c r="J25" i="3" s="1"/>
  <c r="K26" i="3"/>
  <c r="M26" i="3"/>
  <c r="H26" i="3"/>
  <c r="G26" i="3"/>
  <c r="H25" i="3"/>
  <c r="I25" i="3"/>
  <c r="K25" i="3"/>
  <c r="M25" i="3"/>
  <c r="G25" i="3"/>
  <c r="BI23" i="1" l="1"/>
  <c r="AN23" i="1"/>
  <c r="AU24" i="1"/>
  <c r="X24" i="1"/>
  <c r="V24" i="1"/>
  <c r="V23" i="1" s="1"/>
  <c r="U24" i="1"/>
  <c r="T24" i="1"/>
  <c r="T23" i="1" s="1"/>
  <c r="BJ23" i="1"/>
  <c r="BH23" i="1"/>
  <c r="BG23" i="1"/>
  <c r="BF23" i="1"/>
  <c r="BE23" i="1"/>
  <c r="BD23" i="1"/>
  <c r="BB23" i="1"/>
  <c r="BA23" i="1"/>
  <c r="AZ23" i="1"/>
  <c r="AY23" i="1"/>
  <c r="AV23" i="1"/>
  <c r="AT23" i="1"/>
  <c r="AS23" i="1"/>
  <c r="AR23" i="1"/>
  <c r="AQ23" i="1"/>
  <c r="AP23" i="1"/>
  <c r="AO23" i="1"/>
  <c r="AM23" i="1"/>
  <c r="AL23" i="1"/>
  <c r="AK23" i="1"/>
  <c r="AJ23" i="1"/>
  <c r="AI23" i="1"/>
  <c r="AF23" i="1"/>
  <c r="AD23" i="1"/>
  <c r="AC23" i="1"/>
  <c r="AB23" i="1"/>
  <c r="AA23" i="1"/>
  <c r="Z23" i="1"/>
  <c r="X23" i="1"/>
  <c r="W23" i="1"/>
  <c r="U23" i="1"/>
  <c r="S23" i="1"/>
  <c r="R23" i="1"/>
  <c r="Q23" i="1"/>
  <c r="Y23" i="1" l="1"/>
  <c r="AW24" i="1"/>
  <c r="AU23" i="1"/>
  <c r="BL24" i="1"/>
  <c r="BL23" i="1" s="1"/>
  <c r="AE24" i="1"/>
  <c r="L26" i="3" s="1"/>
  <c r="G37" i="2"/>
  <c r="L25" i="3" l="1"/>
  <c r="F26" i="3"/>
  <c r="BC24" i="1"/>
  <c r="AE23" i="1"/>
  <c r="AW23" i="1"/>
  <c r="R19" i="1"/>
  <c r="S19" i="1"/>
  <c r="Q19" i="1"/>
  <c r="R7" i="1"/>
  <c r="S7" i="1"/>
  <c r="Q7" i="1"/>
  <c r="BK24" i="1" l="1"/>
  <c r="BC23" i="1"/>
  <c r="G29" i="3"/>
  <c r="H29" i="3"/>
  <c r="I29" i="3"/>
  <c r="J29" i="3"/>
  <c r="K29" i="3"/>
  <c r="M29" i="3"/>
  <c r="G10" i="3"/>
  <c r="H10" i="3"/>
  <c r="I10" i="3"/>
  <c r="K10" i="3"/>
  <c r="L10" i="3"/>
  <c r="M10" i="3"/>
  <c r="BK23" i="1" l="1"/>
  <c r="BM24" i="1"/>
  <c r="AN27" i="1"/>
  <c r="BM23" i="1" l="1"/>
  <c r="N26" i="3"/>
  <c r="N25" i="3" s="1"/>
  <c r="AZ7" i="1"/>
  <c r="BB7" i="1"/>
  <c r="BC7" i="1"/>
  <c r="BD7" i="1"/>
  <c r="BE7" i="1"/>
  <c r="BF7" i="1"/>
  <c r="BH7" i="1"/>
  <c r="BI7" i="1"/>
  <c r="BJ7" i="1"/>
  <c r="AY7" i="1"/>
  <c r="AJ7" i="1"/>
  <c r="AK7" i="1"/>
  <c r="AM7" i="1"/>
  <c r="AN7" i="1"/>
  <c r="AO7" i="1"/>
  <c r="AP7" i="1"/>
  <c r="AQ7" i="1"/>
  <c r="AR7" i="1"/>
  <c r="AT7" i="1"/>
  <c r="AU7" i="1"/>
  <c r="AV7" i="1"/>
  <c r="AI7" i="1"/>
  <c r="Z7" i="1"/>
  <c r="AA7" i="1"/>
  <c r="AB7" i="1"/>
  <c r="AD7" i="1"/>
  <c r="AE7" i="1"/>
  <c r="AF7" i="1"/>
  <c r="W7" i="1"/>
  <c r="BI27" i="1"/>
  <c r="BL27" i="1" s="1"/>
  <c r="BL26" i="1" s="1"/>
  <c r="AN26" i="1"/>
  <c r="X27" i="1"/>
  <c r="Y27" i="1" s="1"/>
  <c r="U27" i="1"/>
  <c r="V27" i="1" s="1"/>
  <c r="BJ26" i="1"/>
  <c r="BH26" i="1"/>
  <c r="BG26" i="1"/>
  <c r="BF26" i="1"/>
  <c r="BE26" i="1"/>
  <c r="BD26" i="1"/>
  <c r="BB26" i="1"/>
  <c r="BA26" i="1"/>
  <c r="AZ26" i="1"/>
  <c r="AY26" i="1"/>
  <c r="AV26" i="1"/>
  <c r="AT26" i="1"/>
  <c r="AS26" i="1"/>
  <c r="AR26" i="1"/>
  <c r="AQ26" i="1"/>
  <c r="AP26" i="1"/>
  <c r="AO26" i="1"/>
  <c r="AM26" i="1"/>
  <c r="AL26" i="1"/>
  <c r="AK26" i="1"/>
  <c r="AJ26" i="1"/>
  <c r="AI26" i="1"/>
  <c r="AF26" i="1"/>
  <c r="AD26" i="1"/>
  <c r="AC26" i="1"/>
  <c r="AB26" i="1"/>
  <c r="AA26" i="1"/>
  <c r="Z26" i="1"/>
  <c r="W26" i="1"/>
  <c r="U26" i="1"/>
  <c r="S26" i="1"/>
  <c r="R26" i="1"/>
  <c r="Q26" i="1"/>
  <c r="V26" i="1" l="1"/>
  <c r="T27" i="1"/>
  <c r="T26" i="1" s="1"/>
  <c r="BI26" i="1"/>
  <c r="X26" i="1"/>
  <c r="AU27" i="1"/>
  <c r="AU26" i="1" s="1"/>
  <c r="AX27" i="1"/>
  <c r="AX26" i="1" s="1"/>
  <c r="AX25" i="1" s="1"/>
  <c r="Y26" i="1"/>
  <c r="AE27" i="1"/>
  <c r="L29" i="3" s="1"/>
  <c r="BG8" i="1"/>
  <c r="AL8" i="1"/>
  <c r="AL7" i="1" s="1"/>
  <c r="X8" i="1"/>
  <c r="U8" i="1"/>
  <c r="V8" i="1" l="1"/>
  <c r="U7" i="1"/>
  <c r="AW27" i="1"/>
  <c r="AW26" i="1" s="1"/>
  <c r="Y8" i="1"/>
  <c r="X7" i="1"/>
  <c r="BL8" i="1"/>
  <c r="BL7" i="1" s="1"/>
  <c r="BG7" i="1"/>
  <c r="BC27" i="1"/>
  <c r="AE26" i="1"/>
  <c r="T8" i="1" l="1"/>
  <c r="T7" i="1" s="1"/>
  <c r="V7" i="1"/>
  <c r="AS8" i="1"/>
  <c r="Y7" i="1"/>
  <c r="AC8" i="1"/>
  <c r="J10" i="3" s="1"/>
  <c r="BC26" i="1"/>
  <c r="BK27" i="1"/>
  <c r="BM27" i="1" s="1"/>
  <c r="N29" i="3" s="1"/>
  <c r="BA8" i="1" l="1"/>
  <c r="AC7" i="1"/>
  <c r="AW8" i="1"/>
  <c r="AW7" i="1" s="1"/>
  <c r="AS7" i="1"/>
  <c r="BK26" i="1"/>
  <c r="BK8" i="1" l="1"/>
  <c r="BA7" i="1"/>
  <c r="BM26" i="1"/>
  <c r="H22" i="3"/>
  <c r="I22" i="3"/>
  <c r="K22" i="3"/>
  <c r="L22" i="3"/>
  <c r="M22" i="3"/>
  <c r="G22" i="3"/>
  <c r="AZ19" i="1"/>
  <c r="BB19" i="1"/>
  <c r="BC19" i="1"/>
  <c r="BD19" i="1"/>
  <c r="BE19" i="1"/>
  <c r="BF19" i="1"/>
  <c r="BH19" i="1"/>
  <c r="BI19" i="1"/>
  <c r="BJ19" i="1"/>
  <c r="AY19" i="1"/>
  <c r="AJ19" i="1"/>
  <c r="AK19" i="1"/>
  <c r="AM19" i="1"/>
  <c r="AN19" i="1"/>
  <c r="AO19" i="1"/>
  <c r="AP19" i="1"/>
  <c r="AQ19" i="1"/>
  <c r="AR19" i="1"/>
  <c r="AT19" i="1"/>
  <c r="AU19" i="1"/>
  <c r="AV19" i="1"/>
  <c r="AI19" i="1"/>
  <c r="Z19" i="1"/>
  <c r="AA19" i="1"/>
  <c r="AB19" i="1"/>
  <c r="AD19" i="1"/>
  <c r="AE19" i="1"/>
  <c r="AF19" i="1"/>
  <c r="W19" i="1"/>
  <c r="BG20" i="1"/>
  <c r="BL20" i="1" s="1"/>
  <c r="BL19" i="1" s="1"/>
  <c r="AL20" i="1"/>
  <c r="AL19" i="1" s="1"/>
  <c r="X20" i="1"/>
  <c r="X19" i="1" s="1"/>
  <c r="U20" i="1"/>
  <c r="V20" i="1" l="1"/>
  <c r="U19" i="1"/>
  <c r="BM8" i="1"/>
  <c r="N10" i="3" s="1"/>
  <c r="BK7" i="1"/>
  <c r="Y20" i="1"/>
  <c r="Y19" i="1" s="1"/>
  <c r="BG19" i="1"/>
  <c r="E40" i="2"/>
  <c r="T20" i="1" l="1"/>
  <c r="T19" i="1" s="1"/>
  <c r="V19" i="1"/>
  <c r="BM7" i="1"/>
  <c r="AC20" i="1"/>
  <c r="J22" i="3" s="1"/>
  <c r="AS20" i="1"/>
  <c r="AS19" i="1" s="1"/>
  <c r="BA20" i="1"/>
  <c r="BK20" i="1" s="1"/>
  <c r="AW20" i="1"/>
  <c r="AW19" i="1" s="1"/>
  <c r="AC19" i="1" l="1"/>
  <c r="BA19" i="1"/>
  <c r="BK19" i="1"/>
  <c r="BM20" i="1"/>
  <c r="N22" i="3" l="1"/>
  <c r="BM19" i="1"/>
  <c r="F22" i="3"/>
  <c r="M18" i="3" l="1"/>
  <c r="M19" i="3"/>
  <c r="L18" i="3"/>
  <c r="L19" i="3"/>
  <c r="K19" i="3"/>
  <c r="J18" i="3"/>
  <c r="I18" i="3"/>
  <c r="I19" i="3"/>
  <c r="H18" i="3"/>
  <c r="H19" i="3"/>
  <c r="G18" i="3"/>
  <c r="G19" i="3"/>
  <c r="L20" i="3"/>
  <c r="K20" i="3"/>
  <c r="J20" i="3"/>
  <c r="I20" i="3"/>
  <c r="H20" i="3"/>
  <c r="G20" i="3"/>
  <c r="BJ18" i="1"/>
  <c r="BL18" i="1" s="1"/>
  <c r="AO18" i="1"/>
  <c r="X18" i="1"/>
  <c r="Y18" i="1" s="1"/>
  <c r="BG17" i="1"/>
  <c r="BL17" i="1" s="1"/>
  <c r="AL17" i="1"/>
  <c r="X17" i="1"/>
  <c r="Y17" i="1" s="1"/>
  <c r="BH16" i="1"/>
  <c r="BL16" i="1" s="1"/>
  <c r="AM16" i="1"/>
  <c r="X16" i="1"/>
  <c r="Y16" i="1" s="1"/>
  <c r="U16" i="1"/>
  <c r="V16" i="1" s="1"/>
  <c r="T16" i="1" s="1"/>
  <c r="AV18" i="1" l="1"/>
  <c r="AW18" i="1" s="1"/>
  <c r="AF18" i="1"/>
  <c r="AX17" i="1"/>
  <c r="AS17" i="1"/>
  <c r="AW17" i="1" s="1"/>
  <c r="AC17" i="1"/>
  <c r="AX16" i="1"/>
  <c r="AT16" i="1"/>
  <c r="AW16" i="1" s="1"/>
  <c r="AD16" i="1"/>
  <c r="BA17" i="1" l="1"/>
  <c r="BK17" i="1" s="1"/>
  <c r="BM17" i="1" s="1"/>
  <c r="J19" i="3"/>
  <c r="F19" i="3" s="1"/>
  <c r="BB16" i="1"/>
  <c r="BK16" i="1" s="1"/>
  <c r="BM16" i="1" s="1"/>
  <c r="K18" i="3"/>
  <c r="F18" i="3" s="1"/>
  <c r="BD18" i="1"/>
  <c r="BK18" i="1" s="1"/>
  <c r="BM18" i="1" s="1"/>
  <c r="N20" i="3" s="1"/>
  <c r="M20" i="3"/>
  <c r="F20" i="3" s="1"/>
  <c r="N19" i="3" l="1"/>
  <c r="N18" i="3"/>
  <c r="M17" i="3" l="1"/>
  <c r="L17" i="3"/>
  <c r="K17" i="3"/>
  <c r="I17" i="3"/>
  <c r="H17" i="3"/>
  <c r="G17" i="3"/>
  <c r="BG15" i="1"/>
  <c r="BL15" i="1" s="1"/>
  <c r="AL15" i="1"/>
  <c r="X15" i="1"/>
  <c r="Y15" i="1" s="1"/>
  <c r="U15" i="1"/>
  <c r="V15" i="1" s="1"/>
  <c r="T15" i="1" s="1"/>
  <c r="AS15" i="1" l="1"/>
  <c r="AW15" i="1" s="1"/>
  <c r="AX15" i="1"/>
  <c r="AC15" i="1"/>
  <c r="AC13" i="1" s="1"/>
  <c r="BA15" i="1" l="1"/>
  <c r="BK15" i="1" s="1"/>
  <c r="J17" i="3"/>
  <c r="F17" i="3" s="1"/>
  <c r="BM15" i="1" l="1"/>
  <c r="N17" i="3" l="1"/>
  <c r="AO10" i="1"/>
  <c r="AO9" i="1" s="1"/>
  <c r="BJ10" i="1"/>
  <c r="BL10" i="1" s="1"/>
  <c r="AJ12" i="1"/>
  <c r="AJ9" i="1" s="1"/>
  <c r="X10" i="1"/>
  <c r="Y10" i="1" s="1"/>
  <c r="AF10" i="1" s="1"/>
  <c r="U11" i="1"/>
  <c r="V11" i="1" s="1"/>
  <c r="T11" i="1" s="1"/>
  <c r="X11" i="1" s="1"/>
  <c r="Y11" i="1" s="1"/>
  <c r="AD11" i="1" s="1"/>
  <c r="K13" i="3" s="1"/>
  <c r="U12" i="1"/>
  <c r="V12" i="1" s="1"/>
  <c r="T12" i="1" s="1"/>
  <c r="X12" i="1" s="1"/>
  <c r="Y12" i="1" s="1"/>
  <c r="AA12" i="1" s="1"/>
  <c r="U22" i="1"/>
  <c r="V22" i="1" s="1"/>
  <c r="T22" i="1" s="1"/>
  <c r="X22" i="1" s="1"/>
  <c r="Y22" i="1" s="1"/>
  <c r="Y21" i="1" s="1"/>
  <c r="AP9" i="1"/>
  <c r="AP13" i="1"/>
  <c r="AP21" i="1"/>
  <c r="AP28" i="1"/>
  <c r="AP25" i="1" s="1"/>
  <c r="AQ13" i="1"/>
  <c r="AQ21" i="1"/>
  <c r="AQ28" i="1"/>
  <c r="AQ25" i="1" s="1"/>
  <c r="AR9" i="1"/>
  <c r="AR13" i="1"/>
  <c r="AR21" i="1"/>
  <c r="AR28" i="1"/>
  <c r="AR25" i="1" s="1"/>
  <c r="AS9" i="1"/>
  <c r="AS13" i="1"/>
  <c r="U14" i="1"/>
  <c r="V14" i="1" s="1"/>
  <c r="T14" i="1" s="1"/>
  <c r="X14" i="1" s="1"/>
  <c r="Y14" i="1" s="1"/>
  <c r="AX14" i="1" s="1"/>
  <c r="AT21" i="1"/>
  <c r="AU9" i="1"/>
  <c r="AU21" i="1"/>
  <c r="AV13" i="1"/>
  <c r="AV21" i="1"/>
  <c r="AV28" i="1"/>
  <c r="AV25" i="1" s="1"/>
  <c r="AI9" i="1"/>
  <c r="AI13" i="1"/>
  <c r="AI21" i="1"/>
  <c r="AI28" i="1"/>
  <c r="AI25" i="1" s="1"/>
  <c r="AJ13" i="1"/>
  <c r="AJ21" i="1"/>
  <c r="AJ28" i="1"/>
  <c r="AJ25" i="1" s="1"/>
  <c r="AK9" i="1"/>
  <c r="AK13" i="1"/>
  <c r="AK21" i="1"/>
  <c r="AK28" i="1"/>
  <c r="AK25" i="1" s="1"/>
  <c r="AL9" i="1"/>
  <c r="AL13" i="1"/>
  <c r="AL22" i="1"/>
  <c r="AL21" i="1" s="1"/>
  <c r="AM11" i="1"/>
  <c r="AM9" i="1" s="1"/>
  <c r="AM14" i="1"/>
  <c r="AM21" i="1"/>
  <c r="AN9" i="1"/>
  <c r="AN13" i="1"/>
  <c r="AN21" i="1"/>
  <c r="AN29" i="1"/>
  <c r="AN28" i="1" s="1"/>
  <c r="AN25" i="1" s="1"/>
  <c r="AO13" i="1"/>
  <c r="AO21" i="1"/>
  <c r="AO28" i="1"/>
  <c r="AO25" i="1" s="1"/>
  <c r="AY9" i="1"/>
  <c r="AY13" i="1"/>
  <c r="AY21" i="1"/>
  <c r="AY28" i="1"/>
  <c r="AY25" i="1" s="1"/>
  <c r="AZ13" i="1"/>
  <c r="AZ21" i="1"/>
  <c r="AZ28" i="1"/>
  <c r="AZ25" i="1" s="1"/>
  <c r="BA9" i="1"/>
  <c r="BA13" i="1"/>
  <c r="BB21" i="1"/>
  <c r="BC9" i="1"/>
  <c r="BC21" i="1"/>
  <c r="BD13" i="1"/>
  <c r="BD21" i="1"/>
  <c r="BD28" i="1"/>
  <c r="BD25" i="1" s="1"/>
  <c r="BE9" i="1"/>
  <c r="BE13" i="1"/>
  <c r="BE21" i="1"/>
  <c r="BE28" i="1"/>
  <c r="BE25" i="1" s="1"/>
  <c r="BF12" i="1"/>
  <c r="BF9" i="1" s="1"/>
  <c r="BF13" i="1"/>
  <c r="BF21" i="1"/>
  <c r="BF28" i="1"/>
  <c r="BF25" i="1" s="1"/>
  <c r="BG9" i="1"/>
  <c r="BG13" i="1"/>
  <c r="BG22" i="1"/>
  <c r="BG21" i="1" s="1"/>
  <c r="BH11" i="1"/>
  <c r="BH9" i="1" s="1"/>
  <c r="BH14" i="1"/>
  <c r="BL14" i="1" s="1"/>
  <c r="BH21" i="1"/>
  <c r="BI9" i="1"/>
  <c r="BI21" i="1"/>
  <c r="BI29" i="1"/>
  <c r="BI28" i="1" s="1"/>
  <c r="BI25" i="1" s="1"/>
  <c r="BJ13" i="1"/>
  <c r="BJ21" i="1"/>
  <c r="BJ28" i="1"/>
  <c r="BJ25" i="1" s="1"/>
  <c r="D30" i="2"/>
  <c r="Z9" i="1"/>
  <c r="Z13" i="1"/>
  <c r="Z21" i="1"/>
  <c r="Z28" i="1"/>
  <c r="Z25" i="1" s="1"/>
  <c r="AA13" i="1"/>
  <c r="AA21" i="1"/>
  <c r="AA28" i="1"/>
  <c r="AA25" i="1" s="1"/>
  <c r="G36" i="2"/>
  <c r="AB9" i="1"/>
  <c r="AB13" i="1"/>
  <c r="AB21" i="1"/>
  <c r="AB28" i="1"/>
  <c r="AB25" i="1" s="1"/>
  <c r="AC9" i="1"/>
  <c r="AD21" i="1"/>
  <c r="G38" i="2"/>
  <c r="AE9" i="1"/>
  <c r="AE21" i="1"/>
  <c r="E39" i="2"/>
  <c r="AF13" i="1"/>
  <c r="AF21" i="1"/>
  <c r="AF28" i="1"/>
  <c r="AF25" i="1" s="1"/>
  <c r="D28" i="2"/>
  <c r="D29" i="2"/>
  <c r="D31" i="2"/>
  <c r="D32" i="2"/>
  <c r="G12" i="3"/>
  <c r="G13" i="3"/>
  <c r="G14" i="3"/>
  <c r="G16" i="3"/>
  <c r="G21" i="3"/>
  <c r="G24" i="3"/>
  <c r="G23" i="3" s="1"/>
  <c r="G28" i="3"/>
  <c r="G31" i="3"/>
  <c r="H12" i="3"/>
  <c r="H13" i="3"/>
  <c r="H16" i="3"/>
  <c r="H21" i="3"/>
  <c r="H24" i="3"/>
  <c r="H23" i="3" s="1"/>
  <c r="H28" i="3"/>
  <c r="H31" i="3"/>
  <c r="I12" i="3"/>
  <c r="I13" i="3"/>
  <c r="I14" i="3"/>
  <c r="I16" i="3"/>
  <c r="I21" i="3"/>
  <c r="I24" i="3"/>
  <c r="I23" i="3" s="1"/>
  <c r="I28" i="3"/>
  <c r="I31" i="3"/>
  <c r="J12" i="3"/>
  <c r="J13" i="3"/>
  <c r="J14" i="3"/>
  <c r="J16" i="3"/>
  <c r="J21" i="3"/>
  <c r="J31" i="3"/>
  <c r="K12" i="3"/>
  <c r="K14" i="3"/>
  <c r="K24" i="3"/>
  <c r="K23" i="3" s="1"/>
  <c r="K31" i="3"/>
  <c r="K28" i="3"/>
  <c r="L16" i="3"/>
  <c r="L12" i="3"/>
  <c r="L13" i="3"/>
  <c r="L14" i="3"/>
  <c r="L21" i="3"/>
  <c r="L24" i="3"/>
  <c r="L23" i="3" s="1"/>
  <c r="L28" i="3"/>
  <c r="M13" i="3"/>
  <c r="M14" i="3"/>
  <c r="M16" i="3"/>
  <c r="M21" i="3"/>
  <c r="M24" i="3"/>
  <c r="M23" i="3" s="1"/>
  <c r="M28" i="3"/>
  <c r="M31" i="3"/>
  <c r="X29" i="1"/>
  <c r="Y29" i="1" s="1"/>
  <c r="AU29" i="1" s="1"/>
  <c r="AU28" i="1" s="1"/>
  <c r="AU25" i="1" s="1"/>
  <c r="Q28" i="1"/>
  <c r="Q25" i="1" s="1"/>
  <c r="Q21" i="1"/>
  <c r="Q13" i="1"/>
  <c r="U29" i="1"/>
  <c r="V29" i="1" s="1"/>
  <c r="T29" i="1" s="1"/>
  <c r="Q9" i="1"/>
  <c r="R28" i="1"/>
  <c r="R25" i="1" s="1"/>
  <c r="R9" i="1"/>
  <c r="R13" i="1"/>
  <c r="R21" i="1"/>
  <c r="S28" i="1"/>
  <c r="S25" i="1" s="1"/>
  <c r="W28" i="1"/>
  <c r="W25" i="1" s="1"/>
  <c r="S21" i="1"/>
  <c r="S9" i="1"/>
  <c r="S13" i="1"/>
  <c r="U10" i="1"/>
  <c r="V10" i="1" s="1"/>
  <c r="W21" i="1"/>
  <c r="W13" i="1"/>
  <c r="W9" i="1"/>
  <c r="W6" i="1" s="1"/>
  <c r="W5" i="1" s="1"/>
  <c r="G40" i="2"/>
  <c r="G39" i="2"/>
  <c r="BF5" i="1" l="1"/>
  <c r="BE5" i="1"/>
  <c r="AK5" i="1"/>
  <c r="AR5" i="1"/>
  <c r="AJ5" i="1"/>
  <c r="S6" i="1"/>
  <c r="S5" i="1" s="1"/>
  <c r="R6" i="1"/>
  <c r="R5" i="1" s="1"/>
  <c r="Q6" i="1"/>
  <c r="Q5" i="1" s="1"/>
  <c r="AB5" i="1"/>
  <c r="Z5" i="1"/>
  <c r="AY5" i="1"/>
  <c r="AN5" i="1"/>
  <c r="AI5" i="1"/>
  <c r="AP5" i="1"/>
  <c r="AO5" i="1"/>
  <c r="BG5" i="1"/>
  <c r="U21" i="1"/>
  <c r="T21" i="1"/>
  <c r="AD9" i="1"/>
  <c r="AE29" i="1"/>
  <c r="AE28" i="1" s="1"/>
  <c r="AE25" i="1" s="1"/>
  <c r="AD28" i="1"/>
  <c r="AD25" i="1" s="1"/>
  <c r="Y28" i="1"/>
  <c r="Y25" i="1" s="1"/>
  <c r="V21" i="1"/>
  <c r="V9" i="1"/>
  <c r="AC22" i="1"/>
  <c r="BA22" i="1" s="1"/>
  <c r="BA21" i="1" s="1"/>
  <c r="BI13" i="1"/>
  <c r="BI5" i="1" s="1"/>
  <c r="BB11" i="1"/>
  <c r="BB9" i="1" s="1"/>
  <c r="BL22" i="1"/>
  <c r="BL21" i="1" s="1"/>
  <c r="V13" i="1"/>
  <c r="U9" i="1"/>
  <c r="U13" i="1"/>
  <c r="T9" i="1"/>
  <c r="T13" i="1"/>
  <c r="AM28" i="1"/>
  <c r="AM25" i="1" s="1"/>
  <c r="L9" i="3"/>
  <c r="K11" i="3"/>
  <c r="AW29" i="1"/>
  <c r="BL11" i="1"/>
  <c r="AL28" i="1"/>
  <c r="AL25" i="1" s="1"/>
  <c r="X21" i="1"/>
  <c r="BJ9" i="1"/>
  <c r="BJ5" i="1" s="1"/>
  <c r="AZ12" i="1"/>
  <c r="AZ9" i="1" s="1"/>
  <c r="AZ5" i="1" s="1"/>
  <c r="H14" i="3"/>
  <c r="F14" i="3" s="1"/>
  <c r="AA9" i="1"/>
  <c r="AA5" i="1" s="1"/>
  <c r="X9" i="1"/>
  <c r="BD10" i="1"/>
  <c r="AF9" i="1"/>
  <c r="AF5" i="1" s="1"/>
  <c r="M12" i="3"/>
  <c r="F12" i="3" s="1"/>
  <c r="Y9" i="1"/>
  <c r="BH28" i="1"/>
  <c r="BH25" i="1" s="1"/>
  <c r="L11" i="3"/>
  <c r="T28" i="1"/>
  <c r="T25" i="1" s="1"/>
  <c r="V28" i="1"/>
  <c r="V25" i="1" s="1"/>
  <c r="J15" i="3"/>
  <c r="J11" i="3"/>
  <c r="I15" i="3"/>
  <c r="I11" i="3"/>
  <c r="I9" i="3"/>
  <c r="BL29" i="1"/>
  <c r="H30" i="3"/>
  <c r="H27" i="3" s="1"/>
  <c r="AM13" i="1"/>
  <c r="AM5" i="1" s="1"/>
  <c r="F13" i="3"/>
  <c r="X28" i="1"/>
  <c r="X25" i="1" s="1"/>
  <c r="BL13" i="1"/>
  <c r="BL12" i="1"/>
  <c r="BG28" i="1"/>
  <c r="BG25" i="1" s="1"/>
  <c r="M30" i="3"/>
  <c r="M27" i="3" s="1"/>
  <c r="BH13" i="1"/>
  <c r="BH5" i="1" s="1"/>
  <c r="U28" i="1"/>
  <c r="U25" i="1" s="1"/>
  <c r="M15" i="3"/>
  <c r="AT14" i="1"/>
  <c r="AD14" i="1"/>
  <c r="G30" i="3"/>
  <c r="G27" i="3" s="1"/>
  <c r="AQ12" i="1"/>
  <c r="AX12" i="1"/>
  <c r="AX22" i="1"/>
  <c r="AX21" i="1" s="1"/>
  <c r="AS22" i="1"/>
  <c r="AX11" i="1"/>
  <c r="AT11" i="1"/>
  <c r="AX10" i="1"/>
  <c r="AV10" i="1"/>
  <c r="M9" i="3"/>
  <c r="H15" i="3"/>
  <c r="H9" i="3"/>
  <c r="G15" i="3"/>
  <c r="G11" i="3"/>
  <c r="G9" i="3"/>
  <c r="I30" i="3"/>
  <c r="I27" i="3" s="1"/>
  <c r="G8" i="3" l="1"/>
  <c r="G7" i="3" s="1"/>
  <c r="B11" i="2"/>
  <c r="T6" i="1"/>
  <c r="T5" i="1" s="1"/>
  <c r="U6" i="1"/>
  <c r="U5" i="1" s="1"/>
  <c r="V6" i="1"/>
  <c r="V5" i="1" s="1"/>
  <c r="AL5" i="1"/>
  <c r="I8" i="3"/>
  <c r="I7" i="3" s="1"/>
  <c r="BK22" i="1"/>
  <c r="BK21" i="1" s="1"/>
  <c r="J24" i="3"/>
  <c r="J23" i="3" s="1"/>
  <c r="F23" i="3" s="1"/>
  <c r="BC29" i="1"/>
  <c r="BK29" i="1" s="1"/>
  <c r="BM29" i="1" s="1"/>
  <c r="N31" i="3" s="1"/>
  <c r="J28" i="3"/>
  <c r="F28" i="3" s="1"/>
  <c r="AS28" i="1"/>
  <c r="AS25" i="1" s="1"/>
  <c r="AC21" i="1"/>
  <c r="AW28" i="1"/>
  <c r="AW25" i="1" s="1"/>
  <c r="AT28" i="1"/>
  <c r="AT25" i="1" s="1"/>
  <c r="L31" i="3"/>
  <c r="F31" i="3" s="1"/>
  <c r="AC28" i="1"/>
  <c r="AC25" i="1" s="1"/>
  <c r="BA28" i="1"/>
  <c r="BA25" i="1" s="1"/>
  <c r="BA5" i="1" s="1"/>
  <c r="BK11" i="1"/>
  <c r="Y13" i="1"/>
  <c r="Y5" i="1" s="1"/>
  <c r="X13" i="1"/>
  <c r="X6" i="1" s="1"/>
  <c r="X5" i="1" s="1"/>
  <c r="BL9" i="1"/>
  <c r="H11" i="3"/>
  <c r="H8" i="3" s="1"/>
  <c r="H7" i="3" s="1"/>
  <c r="BK12" i="1"/>
  <c r="M11" i="3"/>
  <c r="M8" i="3" s="1"/>
  <c r="M7" i="3" s="1"/>
  <c r="B18" i="2"/>
  <c r="J40" i="2" s="1"/>
  <c r="F29" i="3"/>
  <c r="BK10" i="1"/>
  <c r="BD9" i="1"/>
  <c r="BD5" i="1" s="1"/>
  <c r="BL28" i="1"/>
  <c r="BL25" i="1" s="1"/>
  <c r="AW10" i="1"/>
  <c r="AV9" i="1"/>
  <c r="AV5" i="1" s="1"/>
  <c r="AW11" i="1"/>
  <c r="AT9" i="1"/>
  <c r="AS21" i="1"/>
  <c r="AW22" i="1"/>
  <c r="AW14" i="1"/>
  <c r="AT13" i="1"/>
  <c r="AX9" i="1"/>
  <c r="AQ9" i="1"/>
  <c r="AQ5" i="1" s="1"/>
  <c r="AW12" i="1"/>
  <c r="BB14" i="1"/>
  <c r="BK14" i="1" s="1"/>
  <c r="K16" i="3"/>
  <c r="AD13" i="1"/>
  <c r="AD5" i="1" s="1"/>
  <c r="AS5" i="1" l="1"/>
  <c r="AC5" i="1"/>
  <c r="BL5" i="1"/>
  <c r="AT5" i="1"/>
  <c r="F24" i="3"/>
  <c r="BK28" i="1"/>
  <c r="BK25" i="1" s="1"/>
  <c r="BC28" i="1"/>
  <c r="BC25" i="1" s="1"/>
  <c r="J30" i="3"/>
  <c r="J27" i="3" s="1"/>
  <c r="BB28" i="1"/>
  <c r="BB25" i="1" s="1"/>
  <c r="G31" i="2"/>
  <c r="I31" i="2"/>
  <c r="G29" i="2"/>
  <c r="I29" i="2"/>
  <c r="G30" i="2"/>
  <c r="I30" i="2"/>
  <c r="G28" i="2"/>
  <c r="I28" i="2"/>
  <c r="G32" i="2"/>
  <c r="I32" i="2"/>
  <c r="L30" i="3"/>
  <c r="L27" i="3" s="1"/>
  <c r="BM11" i="1"/>
  <c r="N13" i="3" s="1"/>
  <c r="K30" i="3"/>
  <c r="K27" i="3" s="1"/>
  <c r="AX13" i="1"/>
  <c r="AX5" i="1" s="1"/>
  <c r="BM14" i="1"/>
  <c r="BK9" i="1"/>
  <c r="H40" i="2"/>
  <c r="BM12" i="1"/>
  <c r="N14" i="3" s="1"/>
  <c r="BM28" i="1"/>
  <c r="BM25" i="1" s="1"/>
  <c r="F11" i="3"/>
  <c r="F25" i="2"/>
  <c r="B25" i="2"/>
  <c r="G27" i="2"/>
  <c r="BB13" i="1"/>
  <c r="BB5" i="1" s="1"/>
  <c r="K9" i="3"/>
  <c r="K21" i="3"/>
  <c r="F21" i="3" s="1"/>
  <c r="BM22" i="1"/>
  <c r="AW21" i="1"/>
  <c r="N30" i="3"/>
  <c r="K15" i="3"/>
  <c r="F16" i="3"/>
  <c r="AW9" i="1"/>
  <c r="BM10" i="1"/>
  <c r="K8" i="3" l="1"/>
  <c r="K7" i="3" s="1"/>
  <c r="I27" i="2"/>
  <c r="J27" i="2" s="1"/>
  <c r="F11" i="2"/>
  <c r="G11" i="2" s="1"/>
  <c r="F30" i="3"/>
  <c r="BK13" i="1"/>
  <c r="BK5" i="1" s="1"/>
  <c r="AE13" i="1"/>
  <c r="AE5" i="1" s="1"/>
  <c r="AU13" i="1"/>
  <c r="AU5" i="1" s="1"/>
  <c r="N16" i="3"/>
  <c r="N12" i="3"/>
  <c r="N11" i="3" s="1"/>
  <c r="BM9" i="1"/>
  <c r="N24" i="3"/>
  <c r="N23" i="3" s="1"/>
  <c r="BM21" i="1"/>
  <c r="AW13" i="1" l="1"/>
  <c r="AW5" i="1" s="1"/>
  <c r="N28" i="3"/>
  <c r="N27" i="3" s="1"/>
  <c r="BC13" i="1"/>
  <c r="BC5" i="1" s="1"/>
  <c r="L15" i="3"/>
  <c r="L7" i="3" s="1"/>
  <c r="N21" i="3"/>
  <c r="F15" i="3" l="1"/>
  <c r="B15" i="2" l="1"/>
  <c r="H13" i="2"/>
  <c r="B16" i="2"/>
  <c r="B17" i="2"/>
  <c r="B22" i="2"/>
  <c r="B24" i="2"/>
  <c r="B23" i="2"/>
  <c r="N15" i="3"/>
  <c r="BM13" i="1"/>
  <c r="BM5" i="1" s="1"/>
  <c r="J9" i="3"/>
  <c r="J8" i="3" s="1"/>
  <c r="J7" i="3" s="1"/>
  <c r="F7" i="3" s="1"/>
  <c r="F10" i="3"/>
  <c r="F22" i="2" l="1"/>
  <c r="D15" i="2"/>
  <c r="J37" i="2" s="1"/>
  <c r="H38" i="2"/>
  <c r="H37" i="2"/>
  <c r="H39" i="2"/>
  <c r="F9" i="3"/>
  <c r="F27" i="3"/>
  <c r="F23" i="2"/>
  <c r="J38" i="2"/>
  <c r="F24" i="2"/>
  <c r="J39" i="2"/>
  <c r="N9" i="3" l="1"/>
  <c r="N8" i="3" s="1"/>
  <c r="N7" i="3" s="1"/>
  <c r="F13" i="2"/>
  <c r="B14" i="2"/>
  <c r="B20" i="2"/>
  <c r="B21" i="2"/>
  <c r="J36" i="2" l="1"/>
  <c r="J34" i="2" s="1"/>
  <c r="B13" i="2"/>
  <c r="I13" i="2" s="1"/>
  <c r="J13" i="2"/>
  <c r="F8" i="3"/>
  <c r="F21" i="2"/>
  <c r="F20" i="2" s="1"/>
  <c r="G20" i="2" s="1"/>
  <c r="H36" i="2"/>
  <c r="H34" i="2"/>
  <c r="K32" i="2" l="1"/>
  <c r="F42" i="2"/>
  <c r="K11" i="2"/>
  <c r="G13" i="2"/>
  <c r="L1" i="2"/>
  <c r="F44" i="2" s="1"/>
  <c r="F46" i="2" l="1"/>
  <c r="G42" i="2"/>
  <c r="G46" i="2" l="1"/>
  <c r="F25" i="3" l="1"/>
</calcChain>
</file>

<file path=xl/sharedStrings.xml><?xml version="1.0" encoding="utf-8"?>
<sst xmlns="http://schemas.openxmlformats.org/spreadsheetml/2006/main" count="424" uniqueCount="164">
  <si>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</si>
  <si>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</si>
  <si>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</si>
  <si>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</si>
  <si>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</si>
  <si>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</si>
  <si>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</si>
  <si>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</si>
  <si>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</si>
  <si>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</si>
  <si>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</si>
  <si>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</si>
  <si>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</si>
  <si>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</si>
  <si>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</si>
  <si>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</si>
  <si>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</si>
  <si>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</si>
  <si>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</si>
  <si>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</si>
  <si>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W-3.6</t>
  </si>
  <si>
    <t>Gmina Miasto Częstochowa – Wydział Nadzoru i Administracji</t>
  </si>
  <si>
    <t>ul. Śląska 11/13</t>
  </si>
  <si>
    <t>5732745883</t>
  </si>
  <si>
    <t>zwolnione</t>
  </si>
  <si>
    <t>II</t>
  </si>
  <si>
    <t>W-4</t>
  </si>
  <si>
    <t>Cmentarz Komunalny</t>
  </si>
  <si>
    <t>Cmentarz Komunalny – zasilanie nr 1</t>
  </si>
  <si>
    <t>ul. Radomska 117</t>
  </si>
  <si>
    <t>Cmentarz Komunalny – zasilanie nr 2</t>
  </si>
  <si>
    <t>Cmentarz Komunalny – zasilanie nr 3</t>
  </si>
  <si>
    <t>Miejski Ośrodek Sportu i Rekreacji w Częstochowie</t>
  </si>
  <si>
    <t>ul. Dekabrystów 43</t>
  </si>
  <si>
    <t>Miejski Ośrodek Sportu i Rekreacji – Miejski Stadion Lekkoatletyczny</t>
  </si>
  <si>
    <t>Aleja Wolności 30</t>
  </si>
  <si>
    <t>Ośrodek Pomocy Osobom z Problemami Alkoholowymi</t>
  </si>
  <si>
    <t>Straż Miejska</t>
  </si>
  <si>
    <t>Straż Miejska – Placówka Straży Miejskiej</t>
  </si>
  <si>
    <t>ul. Św. Brata Alberta 6</t>
  </si>
  <si>
    <t>ul. Krakowska 80</t>
  </si>
  <si>
    <t>Zakład Gospodarki Mieszkaniowej TBS w Częstochowie sp. z o.o.</t>
  </si>
  <si>
    <t>Kamienica Kupiecka</t>
  </si>
  <si>
    <t>Aleja Najświętszej Maryi Panny 24</t>
  </si>
  <si>
    <t>ul. Polskiej Organizacji Wojskowej 24</t>
  </si>
  <si>
    <t>Extra 10%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</si>
  <si>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</si>
  <si>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</si>
  <si>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</si>
  <si>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</si>
  <si>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</si>
  <si>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</si>
  <si>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</si>
  <si>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</si>
  <si>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</si>
  <si>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</si>
  <si>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</si>
  <si>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Loretańska 20</t>
  </si>
  <si>
    <t>gr/kWh</t>
  </si>
  <si>
    <t>zł</t>
  </si>
  <si>
    <t>Zużycie</t>
  </si>
  <si>
    <t>kWh</t>
  </si>
  <si>
    <t>zł/kWh</t>
  </si>
  <si>
    <t>PP</t>
  </si>
  <si>
    <t>zł/m-c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</si>
  <si>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</si>
  <si>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</si>
  <si>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</si>
  <si>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</si>
  <si>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</si>
  <si>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</si>
  <si>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</si>
  <si>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</si>
  <si>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</si>
  <si>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</si>
  <si>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</si>
  <si>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</si>
  <si>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</si>
  <si>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>`</t>
  </si>
  <si>
    <t>Numer aktualnie obowiązującej umowy</t>
  </si>
  <si>
    <t>Termin obowiązywania umowy</t>
  </si>
  <si>
    <t>Nabywca</t>
  </si>
  <si>
    <t>Gmina Miasto Częstochowa</t>
  </si>
  <si>
    <t>Warunki rozliczeń</t>
  </si>
  <si>
    <t>gr/(kWh/h)za h</t>
  </si>
  <si>
    <t>zł/12 m-cy</t>
  </si>
  <si>
    <t>Do wydrukowania tylko arkusz: Zał. A.</t>
  </si>
  <si>
    <t>Wartość netto zamówienia</t>
  </si>
  <si>
    <t xml:space="preserve">Do uzupełnienia / uaktualnienia przez Oferenta tylko komórki w kolorze źółtym. 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</si>
  <si>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</si>
  <si>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 xml:space="preserve">Miejski Ośrodek Sportu i Rekreacji - pawilon Plażowy w PW Lisiniec </t>
  </si>
  <si>
    <t>[kWh/h]</t>
  </si>
  <si>
    <t>W-3.6_ZA</t>
  </si>
  <si>
    <t>W-4_ZA</t>
  </si>
  <si>
    <t>W-5</t>
  </si>
  <si>
    <t>W-5.1_ZA</t>
  </si>
  <si>
    <t>W-6</t>
  </si>
  <si>
    <t>W-6.1_ZA</t>
  </si>
  <si>
    <t>W-2.12T</t>
  </si>
  <si>
    <t>W-2.1_ZA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</si>
  <si>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</si>
  <si>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</si>
  <si>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</si>
  <si>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</si>
  <si>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</si>
  <si>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</si>
  <si>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</si>
  <si>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</si>
  <si>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</si>
  <si>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</si>
  <si>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</si>
  <si>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</si>
  <si>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Miejski Ośrodek Sportu i Rekreacji – Miejski Stadion Piłkarski przy ul. Loretańskiej</t>
  </si>
  <si>
    <t>8018590365500013801248</t>
  </si>
  <si>
    <t>8018590365500013913729</t>
  </si>
  <si>
    <t>8018590365500007992143</t>
  </si>
  <si>
    <t>8018590365500007093352</t>
  </si>
  <si>
    <t>8018590365500000001453</t>
  </si>
  <si>
    <t>8018590365500007151663</t>
  </si>
  <si>
    <t>8018590365500007151649</t>
  </si>
  <si>
    <t>8018590365500007260129</t>
  </si>
  <si>
    <t>8018590365500007217727</t>
  </si>
  <si>
    <t>8018590365500000032051</t>
  </si>
  <si>
    <t>Miejski Ośrodek Sportu i Rekreacji – Miejski Stadion Piłkarski „Raków” - swietlica</t>
  </si>
  <si>
    <t>Miejski Ośrodek Sportu i Rekreacji – Park Wodny - kogenerator</t>
  </si>
  <si>
    <t>ul. Dekabrystów 45</t>
  </si>
  <si>
    <t>80185903655000318917746</t>
  </si>
  <si>
    <t>Miejski Ośrodek Sportu i Rekreacji – Pawilon Plażowy w PW Lisiniec</t>
  </si>
  <si>
    <t xml:space="preserve">Willa Generała </t>
  </si>
  <si>
    <t>Centrum Usług Komunalnych</t>
  </si>
  <si>
    <t>ul. Ekonomiczna 5</t>
  </si>
  <si>
    <t>8018590365500018840419</t>
  </si>
  <si>
    <t>Agencja Rozwoju Regionalnego w Częstochowie S.A.</t>
  </si>
  <si>
    <t>Aleja Najświętszej Maryi Panny 24 lok. 8</t>
  </si>
  <si>
    <t>5 jednostek budżetowych - NIP Gminy</t>
  </si>
  <si>
    <t>2 jednostki organizacyjne - NIP własny</t>
  </si>
  <si>
    <t xml:space="preserve">Załącznik A2 do FORMULARZA OFERTOWEGO dla odbiorców nie uwzględnionych w art. 62b ust. 1 pkt 2 Ustawy z dnia 10 kwietnia 1997 r. – Prawo Energetyczne </t>
  </si>
  <si>
    <t>2019</t>
  </si>
  <si>
    <t>2020</t>
  </si>
  <si>
    <t>2021</t>
  </si>
  <si>
    <t>Średnia
2019-2020-2021</t>
  </si>
  <si>
    <t>I</t>
  </si>
  <si>
    <t>RAZEM (I+II)</t>
  </si>
  <si>
    <t xml:space="preserve"> ul. gen. Jana Henryka Dąbrowskiego 58/64</t>
  </si>
  <si>
    <t>ul. O. Augustyna Kordeckiego 99</t>
  </si>
  <si>
    <t>ul. Bolesława Limanowskiego 83</t>
  </si>
  <si>
    <t>ul. Gen. Władysława Sikorskiego 78</t>
  </si>
  <si>
    <t>IZ.272.92.89.2021</t>
  </si>
  <si>
    <t>IZ.272.92.40.2021</t>
  </si>
  <si>
    <t>IZ.272.92.38.2021</t>
  </si>
  <si>
    <t>IZ.272.92.7.2021</t>
  </si>
  <si>
    <t>IZ.272.92.3.2021</t>
  </si>
  <si>
    <t>31.12.2022</t>
  </si>
  <si>
    <t>IZ.272.92.88.2021</t>
  </si>
  <si>
    <t>IZ.272.92.87.2021</t>
  </si>
  <si>
    <t>Wartości z komórek w kolorze zielonym należy wpisać do Załącznika nr 5 do specyfikacji Druk "OFERTA".</t>
  </si>
  <si>
    <t>Prognoza zużycia paliwa gazowego na 2023 rok</t>
  </si>
  <si>
    <t>Zużycie wg prognozy na 2023 rok</t>
  </si>
  <si>
    <t>Zużycie ogółem na 2023 rok</t>
  </si>
  <si>
    <t>8018590365500020093742</t>
  </si>
  <si>
    <t>Szkoła Podstawowa nr 29 im. Królowej Jadwigi</t>
  </si>
  <si>
    <t>IZ.272.92.53.2021</t>
  </si>
  <si>
    <t>ul. Św. Rocha 221</t>
  </si>
  <si>
    <t>8018590365500000026333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</si>
</sst>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0,000,000"/>
    <numFmt numFmtId="166" formatCode="_-* #,##0.000\ _z_ł_-;\-* #,##0.000\ _z_ł_-;_-* \-???\ _z_ł_-;_-@_-"/>
    <numFmt numFmtId="167" formatCode="0.000"/>
  </numFmts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03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7" borderId="1" xfId="2" applyNumberFormat="1" applyFont="1" applyFill="1" applyBorder="1" applyAlignment="1" applyProtection="1">
      <alignment horizontal="right" vertical="center"/>
    </xf>
    <xf numFmtId="49" fontId="1" fillId="7" borderId="3" xfId="2" applyNumberFormat="1" applyFont="1" applyFill="1" applyBorder="1" applyAlignment="1" applyProtection="1">
      <alignment horizontal="right" vertical="center"/>
    </xf>
    <xf numFmtId="0" fontId="1" fillId="7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8" fillId="8" borderId="1" xfId="0" applyNumberFormat="1" applyFont="1" applyFill="1" applyBorder="1" applyAlignment="1">
      <alignment horizontal="right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3" fontId="1" fillId="7" borderId="1" xfId="2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1" fillId="7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0" fillId="0" borderId="4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12" borderId="1" xfId="5" applyFont="1" applyFill="1" applyBorder="1" applyAlignment="1">
      <alignment vertical="center" wrapText="1"/>
    </xf>
    <xf numFmtId="4" fontId="15" fillId="12" borderId="1" xfId="0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1" xfId="5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166" fontId="16" fillId="2" borderId="0" xfId="5" applyNumberFormat="1" applyFont="1" applyFill="1" applyBorder="1" applyAlignment="1">
      <alignment vertical="center"/>
    </xf>
    <xf numFmtId="0" fontId="16" fillId="3" borderId="0" xfId="5" applyFont="1" applyFill="1" applyBorder="1" applyAlignment="1">
      <alignment horizontal="center" vertical="center"/>
    </xf>
    <xf numFmtId="4" fontId="16" fillId="0" borderId="1" xfId="5" applyNumberFormat="1" applyFont="1" applyFill="1" applyBorder="1" applyAlignment="1">
      <alignment vertical="center"/>
    </xf>
    <xf numFmtId="0" fontId="15" fillId="3" borderId="1" xfId="5" applyFont="1" applyFill="1" applyBorder="1" applyAlignment="1">
      <alignment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9" fontId="17" fillId="2" borderId="3" xfId="2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vertical="center" wrapText="1"/>
    </xf>
    <xf numFmtId="49" fontId="1" fillId="16" borderId="1" xfId="2" applyNumberFormat="1" applyFont="1" applyFill="1" applyBorder="1" applyAlignment="1" applyProtection="1">
      <alignment horizontal="right" vertical="center"/>
    </xf>
    <xf numFmtId="4" fontId="1" fillId="17" borderId="1" xfId="0" applyNumberFormat="1" applyFont="1" applyFill="1" applyBorder="1" applyAlignment="1">
      <alignment horizontal="right" vertical="center" wrapText="1"/>
    </xf>
    <xf numFmtId="3" fontId="1" fillId="15" borderId="1" xfId="0" applyNumberFormat="1" applyFont="1" applyFill="1" applyBorder="1" applyAlignment="1">
      <alignment horizontal="right" vertical="center"/>
    </xf>
    <xf numFmtId="49" fontId="1" fillId="7" borderId="1" xfId="2" applyNumberFormat="1" applyFont="1" applyFill="1" applyBorder="1" applyAlignment="1" applyProtection="1">
      <alignment horizontal="center" vertical="top"/>
    </xf>
    <xf numFmtId="49" fontId="1" fillId="7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/>
    </xf>
    <xf numFmtId="1" fontId="9" fillId="17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1" fontId="1" fillId="15" borderId="2" xfId="0" applyNumberFormat="1" applyFont="1" applyFill="1" applyBorder="1" applyAlignment="1">
      <alignment horizontal="center" vertical="center"/>
    </xf>
    <xf numFmtId="49" fontId="1" fillId="15" borderId="1" xfId="2" applyNumberFormat="1" applyFont="1" applyFill="1" applyBorder="1" applyAlignment="1" applyProtection="1">
      <alignment horizontal="center" vertical="top"/>
    </xf>
    <xf numFmtId="49" fontId="17" fillId="15" borderId="3" xfId="2" applyNumberFormat="1" applyFont="1" applyFill="1" applyBorder="1" applyAlignment="1" applyProtection="1">
      <alignment horizontal="right" vertical="center"/>
    </xf>
    <xf numFmtId="49" fontId="1" fillId="15" borderId="3" xfId="2" applyNumberFormat="1" applyFont="1" applyFill="1" applyBorder="1" applyAlignment="1" applyProtection="1">
      <alignment horizontal="right" vertical="center"/>
    </xf>
    <xf numFmtId="0" fontId="1" fillId="15" borderId="1" xfId="2" applyNumberFormat="1" applyFont="1" applyFill="1" applyBorder="1" applyAlignment="1" applyProtection="1">
      <alignment horizontal="center" vertical="center"/>
    </xf>
    <xf numFmtId="3" fontId="1" fillId="18" borderId="1" xfId="0" applyNumberFormat="1" applyFont="1" applyFill="1" applyBorder="1" applyAlignment="1">
      <alignment horizontal="right" vertical="center"/>
    </xf>
    <xf numFmtId="3" fontId="5" fillId="15" borderId="1" xfId="0" applyNumberFormat="1" applyFont="1" applyFill="1" applyBorder="1" applyAlignment="1">
      <alignment horizontal="right" vertical="center" wrapText="1"/>
    </xf>
    <xf numFmtId="3" fontId="3" fillId="15" borderId="1" xfId="0" applyNumberFormat="1" applyFont="1" applyFill="1" applyBorder="1" applyAlignment="1">
      <alignment horizontal="right" vertical="center"/>
    </xf>
    <xf numFmtId="3" fontId="7" fillId="15" borderId="1" xfId="0" applyNumberFormat="1" applyFont="1" applyFill="1" applyBorder="1" applyAlignment="1">
      <alignment horizontal="right" vertical="center"/>
    </xf>
    <xf numFmtId="3" fontId="3" fillId="17" borderId="1" xfId="0" applyNumberFormat="1" applyFont="1" applyFill="1" applyBorder="1" applyAlignment="1">
      <alignment horizontal="center" vertical="center" wrapText="1"/>
    </xf>
    <xf numFmtId="4" fontId="1" fillId="17" borderId="1" xfId="0" applyNumberFormat="1" applyFont="1" applyFill="1" applyBorder="1" applyAlignment="1">
      <alignment horizontal="right" vertical="center"/>
    </xf>
    <xf numFmtId="4" fontId="1" fillId="15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0" fontId="1" fillId="15" borderId="0" xfId="0" applyFont="1" applyFill="1" applyBorder="1" applyAlignment="1">
      <alignment vertical="center"/>
    </xf>
    <xf numFmtId="0" fontId="1" fillId="15" borderId="0" xfId="0" applyFont="1" applyFill="1" applyBorder="1" applyAlignment="1">
      <alignment horizontal="center" vertical="center" wrapText="1"/>
    </xf>
    <xf numFmtId="49" fontId="1" fillId="16" borderId="3" xfId="2" applyNumberFormat="1" applyFont="1" applyFill="1" applyBorder="1" applyAlignment="1" applyProtection="1">
      <alignment horizontal="right" vertical="center"/>
    </xf>
    <xf numFmtId="0" fontId="1" fillId="16" borderId="1" xfId="2" applyNumberFormat="1" applyFont="1" applyFill="1" applyBorder="1" applyAlignment="1" applyProtection="1">
      <alignment horizontal="center" vertical="center"/>
    </xf>
    <xf numFmtId="3" fontId="1" fillId="16" borderId="1" xfId="2" applyNumberFormat="1" applyFont="1" applyFill="1" applyBorder="1" applyAlignment="1" applyProtection="1">
      <alignment horizontal="center" vertical="center"/>
    </xf>
    <xf numFmtId="3" fontId="1" fillId="15" borderId="1" xfId="8" applyNumberFormat="1" applyFont="1" applyFill="1" applyBorder="1" applyAlignment="1" applyProtection="1">
      <alignment vertical="center"/>
    </xf>
    <xf numFmtId="164" fontId="1" fillId="15" borderId="1" xfId="2" applyNumberFormat="1" applyFont="1" applyFill="1" applyBorder="1" applyAlignment="1" applyProtection="1">
      <alignment horizontal="center" vertical="center"/>
    </xf>
    <xf numFmtId="0" fontId="1" fillId="15" borderId="0" xfId="0" applyFont="1" applyFill="1" applyAlignment="1">
      <alignment vertical="center"/>
    </xf>
    <xf numFmtId="3" fontId="1" fillId="17" borderId="1" xfId="0" applyNumberFormat="1" applyFont="1" applyFill="1" applyBorder="1" applyAlignment="1">
      <alignment horizontal="right" vertical="center"/>
    </xf>
    <xf numFmtId="0" fontId="5" fillId="1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7" fontId="16" fillId="13" borderId="1" xfId="5" applyNumberFormat="1" applyFont="1" applyFill="1" applyBorder="1" applyAlignment="1">
      <alignment vertical="center"/>
    </xf>
    <xf numFmtId="3" fontId="3" fillId="19" borderId="1" xfId="0" applyNumberFormat="1" applyFont="1" applyFill="1" applyBorder="1" applyAlignment="1">
      <alignment horizontal="center" vertical="center" wrapText="1"/>
    </xf>
    <xf numFmtId="1" fontId="9" fillId="17" borderId="4" xfId="0" applyNumberFormat="1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vertical="center"/>
    </xf>
    <xf numFmtId="1" fontId="1" fillId="15" borderId="1" xfId="0" applyNumberFormat="1" applyFont="1" applyFill="1" applyBorder="1" applyAlignment="1">
      <alignment horizontal="center" vertical="center"/>
    </xf>
    <xf numFmtId="3" fontId="1" fillId="15" borderId="1" xfId="0" applyNumberFormat="1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center" vertical="center" wrapText="1"/>
    </xf>
    <xf numFmtId="3" fontId="1" fillId="17" borderId="1" xfId="8" applyNumberFormat="1" applyFont="1" applyFill="1" applyBorder="1" applyAlignment="1" applyProtection="1">
      <alignment vertical="center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vertical="top" wrapText="1"/>
    </xf>
    <xf numFmtId="0" fontId="1" fillId="15" borderId="1" xfId="1" applyFont="1" applyFill="1" applyBorder="1" applyAlignment="1">
      <alignment vertical="center"/>
    </xf>
    <xf numFmtId="49" fontId="1" fillId="16" borderId="3" xfId="2" applyNumberFormat="1" applyFont="1" applyFill="1" applyBorder="1" applyAlignment="1" applyProtection="1">
      <alignment horizontal="center" vertical="center"/>
    </xf>
    <xf numFmtId="3" fontId="3" fillId="20" borderId="1" xfId="0" applyNumberFormat="1" applyFont="1" applyFill="1" applyBorder="1" applyAlignment="1">
      <alignment horizontal="right" vertical="center"/>
    </xf>
    <xf numFmtId="3" fontId="1" fillId="15" borderId="1" xfId="0" applyNumberFormat="1" applyFont="1" applyFill="1" applyBorder="1" applyAlignment="1">
      <alignment horizontal="right" vertical="top"/>
    </xf>
    <xf numFmtId="49" fontId="1" fillId="2" borderId="1" xfId="10" applyNumberFormat="1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vertical="center"/>
    </xf>
    <xf numFmtId="0" fontId="16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49" fontId="1" fillId="22" borderId="1" xfId="2" applyNumberFormat="1" applyFont="1" applyFill="1" applyBorder="1" applyAlignment="1" applyProtection="1">
      <alignment horizontal="center" vertical="top"/>
    </xf>
    <xf numFmtId="0" fontId="1" fillId="22" borderId="1" xfId="2" applyNumberFormat="1" applyFont="1" applyFill="1" applyBorder="1" applyAlignment="1" applyProtection="1">
      <alignment horizontal="center" vertical="center"/>
    </xf>
    <xf numFmtId="164" fontId="1" fillId="23" borderId="1" xfId="2" applyNumberFormat="1" applyFont="1" applyFill="1" applyBorder="1" applyAlignment="1" applyProtection="1">
      <alignment horizontal="center" vertical="center"/>
    </xf>
    <xf numFmtId="0" fontId="3" fillId="23" borderId="1" xfId="0" applyFont="1" applyFill="1" applyBorder="1" applyAlignment="1">
      <alignment vertical="center"/>
    </xf>
    <xf numFmtId="1" fontId="1" fillId="23" borderId="2" xfId="0" applyNumberFormat="1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vertical="center" wrapText="1"/>
    </xf>
    <xf numFmtId="0" fontId="1" fillId="23" borderId="1" xfId="0" applyFont="1" applyFill="1" applyBorder="1" applyAlignment="1">
      <alignment horizontal="left" vertical="center" wrapText="1"/>
    </xf>
    <xf numFmtId="49" fontId="1" fillId="22" borderId="1" xfId="0" applyNumberFormat="1" applyFont="1" applyFill="1" applyBorder="1" applyAlignment="1">
      <alignment horizontal="right" vertical="center"/>
    </xf>
    <xf numFmtId="49" fontId="1" fillId="23" borderId="1" xfId="0" applyNumberFormat="1" applyFont="1" applyFill="1" applyBorder="1" applyAlignment="1">
      <alignment horizontal="center" vertical="center"/>
    </xf>
    <xf numFmtId="3" fontId="1" fillId="24" borderId="1" xfId="0" applyNumberFormat="1" applyFont="1" applyFill="1" applyBorder="1" applyAlignment="1">
      <alignment horizontal="right" vertical="center"/>
    </xf>
    <xf numFmtId="3" fontId="1" fillId="23" borderId="1" xfId="8" applyNumberFormat="1" applyFont="1" applyFill="1" applyBorder="1" applyAlignment="1" applyProtection="1">
      <alignment vertical="center"/>
    </xf>
    <xf numFmtId="3" fontId="3" fillId="23" borderId="1" xfId="0" applyNumberFormat="1" applyFont="1" applyFill="1" applyBorder="1" applyAlignment="1">
      <alignment horizontal="right" vertical="center"/>
    </xf>
    <xf numFmtId="3" fontId="1" fillId="23" borderId="1" xfId="0" applyNumberFormat="1" applyFont="1" applyFill="1" applyBorder="1" applyAlignment="1">
      <alignment horizontal="right" vertical="center"/>
    </xf>
    <xf numFmtId="0" fontId="1" fillId="23" borderId="1" xfId="0" applyFont="1" applyFill="1" applyBorder="1" applyAlignment="1">
      <alignment horizontal="center" vertical="center"/>
    </xf>
    <xf numFmtId="3" fontId="3" fillId="25" borderId="1" xfId="0" applyNumberFormat="1" applyFont="1" applyFill="1" applyBorder="1" applyAlignment="1">
      <alignment horizontal="center" vertical="center" wrapText="1"/>
    </xf>
    <xf numFmtId="4" fontId="1" fillId="25" borderId="1" xfId="0" applyNumberFormat="1" applyFont="1" applyFill="1" applyBorder="1" applyAlignment="1">
      <alignment horizontal="right" vertical="center" wrapText="1"/>
    </xf>
    <xf numFmtId="3" fontId="1" fillId="25" borderId="1" xfId="0" applyNumberFormat="1" applyFont="1" applyFill="1" applyBorder="1" applyAlignment="1">
      <alignment horizontal="right" vertical="center"/>
    </xf>
    <xf numFmtId="4" fontId="1" fillId="25" borderId="1" xfId="0" applyNumberFormat="1" applyFont="1" applyFill="1" applyBorder="1" applyAlignment="1">
      <alignment vertical="center"/>
    </xf>
    <xf numFmtId="0" fontId="3" fillId="23" borderId="5" xfId="0" applyFont="1" applyFill="1" applyBorder="1" applyAlignment="1">
      <alignment vertical="center"/>
    </xf>
    <xf numFmtId="1" fontId="1" fillId="23" borderId="1" xfId="0" applyNumberFormat="1" applyFont="1" applyFill="1" applyBorder="1" applyAlignment="1">
      <alignment horizontal="center" vertical="center"/>
    </xf>
    <xf numFmtId="3" fontId="1" fillId="23" borderId="1" xfId="0" applyNumberFormat="1" applyFont="1" applyFill="1" applyBorder="1" applyAlignment="1">
      <alignment horizontal="center" vertical="center" wrapText="1"/>
    </xf>
    <xf numFmtId="4" fontId="1" fillId="23" borderId="1" xfId="0" applyNumberFormat="1" applyFont="1" applyFill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0" fontId="15" fillId="0" borderId="7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3" fontId="3" fillId="2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1">
    <cellStyle name="Dziesiętny" xfId="10" builtinId="3"/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459105</xdr:colOff>
      <xdr:row>16</xdr:row>
      <xdr:rowOff>137160</xdr:rowOff>
    </xdr:from>
    <xdr:to>
      <xdr:col>34</xdr:col>
      <xdr:colOff>382905</xdr:colOff>
      <xdr:row>19</xdr:row>
      <xdr:rowOff>99060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_6_i_8_do%20SWZ_obj&#281;te_Prawem_energetyczny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"/>
      <sheetName val="Zał. 8 do SWZ"/>
      <sheetName val="Zał. A"/>
    </sheetNames>
    <sheetDataSet>
      <sheetData sheetId="0">
        <row r="10">
          <cell r="B10">
            <v>0</v>
          </cell>
        </row>
        <row r="44">
          <cell r="B44">
            <v>1.76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10" zoomScaleNormal="100" workbookViewId="0">
      <selection activeCell="E15" sqref="E15"/>
    </sheetView>
  </sheetViews>
  <sheetFormatPr defaultColWidth="9.140625" defaultRowHeight="12.75" x14ac:dyDescent="0.2"/>
  <cols>
    <col min="1" max="1" width="32.85546875" style="144" customWidth="1"/>
    <col min="2" max="3" width="15.7109375" style="144" customWidth="1"/>
    <col min="4" max="4" width="14.5703125" style="144" customWidth="1"/>
    <col min="5" max="5" width="13.140625" style="144" customWidth="1"/>
    <col min="6" max="6" width="15.7109375" style="144" customWidth="1"/>
    <col min="7" max="7" width="14.42578125" style="144" customWidth="1"/>
    <col min="8" max="8" width="17.140625" style="144" customWidth="1"/>
    <col min="9" max="9" width="13.85546875" style="144" customWidth="1"/>
    <col min="10" max="10" width="16.5703125" style="144" customWidth="1"/>
    <col min="11" max="11" width="44.28515625" style="144" customWidth="1"/>
    <col min="12" max="12" width="25.140625" style="144" customWidth="1"/>
    <col min="13" max="13" width="14.7109375" style="144" customWidth="1"/>
    <col min="14" max="14" width="9.28515625" style="144" bestFit="1" customWidth="1"/>
    <col min="15" max="16384" width="9.140625" style="144"/>
  </cols>
  <sheetData>
    <row r="1" spans="1:21" ht="33.75" customHeight="1" x14ac:dyDescent="0.2">
      <c r="A1" s="142"/>
      <c r="B1" s="142"/>
      <c r="C1" s="142"/>
      <c r="D1" s="279" t="s">
        <v>86</v>
      </c>
      <c r="E1" s="279"/>
      <c r="F1" s="279"/>
      <c r="G1" s="143"/>
      <c r="H1" s="143"/>
      <c r="I1" s="143"/>
      <c r="K1" s="145" t="s">
        <v>87</v>
      </c>
      <c r="L1" s="146">
        <f>'Zał. 9 do SWZ'!BM5</f>
        <v>315565.75</v>
      </c>
      <c r="M1" s="147" t="s">
        <v>19</v>
      </c>
    </row>
    <row r="2" spans="1:21" ht="33.75" customHeight="1" x14ac:dyDescent="0.2">
      <c r="C2" s="143"/>
      <c r="D2" s="284" t="s">
        <v>88</v>
      </c>
      <c r="E2" s="285"/>
      <c r="F2" s="285"/>
      <c r="G2" s="285"/>
      <c r="H2" s="285"/>
      <c r="I2" s="143"/>
    </row>
    <row r="3" spans="1:21" ht="33.75" customHeight="1" x14ac:dyDescent="0.2">
      <c r="C3" s="143"/>
      <c r="D3" s="282" t="s">
        <v>155</v>
      </c>
      <c r="E3" s="283"/>
      <c r="F3" s="283"/>
      <c r="G3" s="283"/>
      <c r="H3" s="283"/>
      <c r="I3" s="283"/>
      <c r="K3" s="130"/>
    </row>
    <row r="4" spans="1:21" ht="19.5" customHeight="1" x14ac:dyDescent="0.2">
      <c r="A4" s="148" t="s">
        <v>89</v>
      </c>
      <c r="F4" s="149"/>
      <c r="H4" s="149"/>
      <c r="K4" s="130"/>
    </row>
    <row r="5" spans="1:21" x14ac:dyDescent="0.2">
      <c r="A5" s="177" t="s">
        <v>98</v>
      </c>
      <c r="B5" s="227">
        <v>0</v>
      </c>
      <c r="C5" s="150" t="s">
        <v>58</v>
      </c>
      <c r="D5" s="130"/>
      <c r="E5" s="130"/>
      <c r="F5" s="131"/>
      <c r="G5" s="130"/>
      <c r="H5" s="131"/>
      <c r="I5" s="130"/>
      <c r="J5" s="130"/>
      <c r="K5" s="130"/>
    </row>
    <row r="6" spans="1:21" x14ac:dyDescent="0.2">
      <c r="A6" s="178" t="s">
        <v>20</v>
      </c>
      <c r="B6" s="227">
        <v>0</v>
      </c>
      <c r="C6" s="150" t="s">
        <v>58</v>
      </c>
      <c r="D6" s="128"/>
      <c r="E6" s="128"/>
      <c r="F6" s="129"/>
      <c r="G6" s="130"/>
      <c r="H6" s="131"/>
      <c r="I6" s="130"/>
      <c r="J6" s="130"/>
      <c r="K6" s="133"/>
      <c r="L6" s="152"/>
      <c r="M6" s="152"/>
    </row>
    <row r="7" spans="1:21" x14ac:dyDescent="0.2">
      <c r="A7" s="178" t="s">
        <v>26</v>
      </c>
      <c r="B7" s="227">
        <v>0</v>
      </c>
      <c r="C7" s="150" t="s">
        <v>58</v>
      </c>
      <c r="D7" s="128"/>
      <c r="E7" s="128"/>
      <c r="F7" s="129"/>
      <c r="G7" s="130"/>
      <c r="H7" s="131"/>
      <c r="I7" s="130"/>
      <c r="J7" s="130"/>
      <c r="K7" s="133"/>
      <c r="L7" s="152"/>
      <c r="M7" s="152"/>
    </row>
    <row r="8" spans="1:21" x14ac:dyDescent="0.2">
      <c r="A8" s="178" t="s">
        <v>94</v>
      </c>
      <c r="B8" s="227">
        <v>0</v>
      </c>
      <c r="C8" s="150" t="s">
        <v>58</v>
      </c>
      <c r="D8" s="128"/>
      <c r="E8" s="128"/>
      <c r="F8" s="132"/>
      <c r="G8" s="133"/>
      <c r="H8" s="132"/>
      <c r="I8" s="133"/>
      <c r="J8" s="133"/>
      <c r="K8" s="133"/>
      <c r="L8" s="152"/>
      <c r="M8" s="152"/>
      <c r="N8" s="152"/>
    </row>
    <row r="9" spans="1:21" x14ac:dyDescent="0.2">
      <c r="A9" s="178" t="s">
        <v>96</v>
      </c>
      <c r="B9" s="227">
        <v>0</v>
      </c>
      <c r="C9" s="150" t="s">
        <v>58</v>
      </c>
      <c r="D9" s="128"/>
      <c r="E9" s="128"/>
      <c r="F9" s="132"/>
      <c r="G9" s="133"/>
      <c r="H9" s="132"/>
      <c r="I9" s="133"/>
      <c r="J9" s="133"/>
      <c r="K9" s="133"/>
      <c r="L9" s="152"/>
      <c r="M9" s="152"/>
      <c r="N9" s="152"/>
    </row>
    <row r="10" spans="1:21" s="153" customFormat="1" x14ac:dyDescent="0.2">
      <c r="B10" s="154"/>
      <c r="C10" s="155"/>
      <c r="D10" s="128"/>
      <c r="E10" s="128"/>
      <c r="F10" s="132"/>
      <c r="G10" s="133"/>
      <c r="H10" s="132"/>
      <c r="I10" s="133"/>
      <c r="J10" s="133"/>
      <c r="K10" s="133"/>
      <c r="L10" s="152"/>
      <c r="M10" s="152"/>
      <c r="N10" s="152"/>
      <c r="O10" s="144"/>
      <c r="P10" s="144"/>
      <c r="Q10" s="144"/>
      <c r="R10" s="144"/>
      <c r="S10" s="144"/>
      <c r="T10" s="144"/>
      <c r="U10" s="144"/>
    </row>
    <row r="11" spans="1:21" x14ac:dyDescent="0.2">
      <c r="A11" s="148" t="s">
        <v>3</v>
      </c>
      <c r="B11" s="156">
        <f>'Zał. 9 do SWZ'!AX10+'Zał. 9 do SWZ'!AX11+'Zał. 9 do SWZ'!AX12+'Zał. 9 do SWZ'!AX14+'Zał. 9 do SWZ'!AX15+'Zał. 9 do SWZ'!AX16+'Zał. 9 do SWZ'!AX17+'Zał. 9 do SWZ'!AX22+'Zał. 9 do SWZ'!AX27</f>
        <v>10834.2</v>
      </c>
      <c r="C11" s="150" t="s">
        <v>59</v>
      </c>
      <c r="D11" s="128"/>
      <c r="E11" s="128"/>
      <c r="F11" s="134">
        <f>'Zał. 9 do SWZ'!AX5</f>
        <v>10834.2</v>
      </c>
      <c r="G11" s="135" t="str">
        <f>IF(OR((ROUND(B11,0))=(ROUND(F11,0))),"ZGODNE","FAŁSZ")</f>
        <v>ZGODNE</v>
      </c>
      <c r="H11" s="133"/>
      <c r="I11" s="135"/>
      <c r="J11" s="133"/>
      <c r="K11" s="135" t="str">
        <f>IF(OR((ROUND(B13,0))=(ROUND(J13,0))),"ZGODNE","FAŁSZ")</f>
        <v>ZGODNE</v>
      </c>
      <c r="L11" s="152"/>
      <c r="M11" s="152"/>
      <c r="N11" s="152"/>
    </row>
    <row r="12" spans="1:21" x14ac:dyDescent="0.2">
      <c r="C12" s="143"/>
      <c r="D12" s="128"/>
      <c r="E12" s="128"/>
      <c r="F12" s="133"/>
      <c r="G12" s="133"/>
      <c r="H12" s="136"/>
      <c r="I12" s="133"/>
      <c r="J12" s="133"/>
      <c r="K12" s="133"/>
      <c r="L12" s="152"/>
      <c r="M12" s="152"/>
      <c r="N12" s="152"/>
    </row>
    <row r="13" spans="1:21" x14ac:dyDescent="0.2">
      <c r="A13" s="157" t="s">
        <v>60</v>
      </c>
      <c r="B13" s="158">
        <f>SUM(B14:B18)</f>
        <v>7720800</v>
      </c>
      <c r="C13" s="150" t="s">
        <v>61</v>
      </c>
      <c r="D13" s="128"/>
      <c r="E13" s="137"/>
      <c r="F13" s="134">
        <f>SUM('Zał. 9 do SWZ'!Z5:AF5)</f>
        <v>7720800</v>
      </c>
      <c r="G13" s="135" t="str">
        <f>IF(OR((ROUND(B13,0))=(ROUND(F13,0))),"ZGODNE","FAŁSZ")</f>
        <v>ZGODNE</v>
      </c>
      <c r="H13" s="134">
        <f>'Zał. 9 do SWZ'!Y5</f>
        <v>7720800</v>
      </c>
      <c r="I13" s="135" t="str">
        <f>IF(OR((ROUND(B13,0))=(ROUND(H13,0))),"ZGODNE","FAŁSZ")</f>
        <v>ZGODNE</v>
      </c>
      <c r="J13" s="134">
        <f>'Zał. A'!F7</f>
        <v>7720800</v>
      </c>
      <c r="K13" s="133"/>
      <c r="L13" s="152"/>
      <c r="M13" s="152"/>
      <c r="N13" s="152"/>
    </row>
    <row r="14" spans="1:21" x14ac:dyDescent="0.2">
      <c r="A14" s="177" t="s">
        <v>98</v>
      </c>
      <c r="B14" s="159">
        <f>'Zał. 9 do SWZ'!AA5</f>
        <v>9000</v>
      </c>
      <c r="C14" s="150" t="s">
        <v>61</v>
      </c>
      <c r="D14" s="128"/>
      <c r="E14" s="128"/>
      <c r="F14" s="138"/>
      <c r="G14" s="133"/>
      <c r="H14" s="138"/>
      <c r="I14" s="133"/>
      <c r="J14" s="133"/>
      <c r="K14" s="133"/>
      <c r="L14" s="152"/>
      <c r="M14" s="152"/>
      <c r="N14" s="152"/>
    </row>
    <row r="15" spans="1:21" x14ac:dyDescent="0.2">
      <c r="A15" s="178" t="s">
        <v>20</v>
      </c>
      <c r="B15" s="159">
        <f>'Zał. 9 do SWZ'!AC5</f>
        <v>402500</v>
      </c>
      <c r="C15" s="150" t="s">
        <v>61</v>
      </c>
      <c r="D15" s="139">
        <f>B15</f>
        <v>402500</v>
      </c>
      <c r="E15" s="128"/>
      <c r="F15" s="133"/>
      <c r="G15" s="133"/>
      <c r="H15" s="136"/>
      <c r="I15" s="133"/>
      <c r="J15" s="133"/>
      <c r="K15" s="133" t="s">
        <v>78</v>
      </c>
      <c r="L15" s="152"/>
      <c r="M15" s="152"/>
      <c r="N15" s="152"/>
    </row>
    <row r="16" spans="1:21" x14ac:dyDescent="0.2">
      <c r="A16" s="178" t="s">
        <v>26</v>
      </c>
      <c r="B16" s="159">
        <f>'Zał. 9 do SWZ'!AD5</f>
        <v>409000</v>
      </c>
      <c r="C16" s="150" t="s">
        <v>61</v>
      </c>
      <c r="D16" s="128"/>
      <c r="E16" s="128"/>
      <c r="F16" s="133"/>
      <c r="G16" s="133"/>
      <c r="H16" s="133"/>
      <c r="I16" s="133"/>
      <c r="J16" s="133"/>
      <c r="K16" s="133"/>
      <c r="L16" s="152"/>
      <c r="M16" s="152"/>
      <c r="N16" s="152"/>
    </row>
    <row r="17" spans="1:14" x14ac:dyDescent="0.2">
      <c r="A17" s="178" t="s">
        <v>94</v>
      </c>
      <c r="B17" s="159">
        <f>'Zał. 9 do SWZ'!AE5</f>
        <v>1345300</v>
      </c>
      <c r="C17" s="150" t="s">
        <v>61</v>
      </c>
      <c r="D17" s="128"/>
      <c r="E17" s="128"/>
      <c r="F17" s="133"/>
      <c r="G17" s="133"/>
      <c r="H17" s="140"/>
      <c r="I17" s="133"/>
      <c r="J17" s="133"/>
      <c r="K17" s="130"/>
      <c r="N17" s="152"/>
    </row>
    <row r="18" spans="1:14" x14ac:dyDescent="0.2">
      <c r="A18" s="178" t="s">
        <v>96</v>
      </c>
      <c r="B18" s="159">
        <f>'Zał. 9 do SWZ'!AF5</f>
        <v>5555000</v>
      </c>
      <c r="C18" s="150" t="s">
        <v>61</v>
      </c>
      <c r="D18" s="128"/>
      <c r="E18" s="128"/>
      <c r="F18" s="133"/>
      <c r="G18" s="133"/>
      <c r="H18" s="140"/>
      <c r="I18" s="133"/>
      <c r="J18" s="133"/>
      <c r="K18" s="133"/>
      <c r="L18" s="152"/>
      <c r="M18" s="152"/>
      <c r="N18" s="152"/>
    </row>
    <row r="19" spans="1:14" x14ac:dyDescent="0.2">
      <c r="C19" s="143"/>
      <c r="D19" s="128"/>
      <c r="E19" s="128"/>
      <c r="F19" s="133"/>
      <c r="G19" s="133"/>
      <c r="H19" s="130"/>
      <c r="I19" s="130"/>
      <c r="J19" s="130"/>
      <c r="K19" s="133"/>
      <c r="L19" s="152"/>
      <c r="M19" s="152"/>
    </row>
    <row r="20" spans="1:14" x14ac:dyDescent="0.2">
      <c r="A20" s="148" t="s">
        <v>65</v>
      </c>
      <c r="B20" s="161">
        <f>SUM('Zał. 9 do SWZ'!AP5:AV5)</f>
        <v>0</v>
      </c>
      <c r="C20" s="150" t="s">
        <v>62</v>
      </c>
      <c r="D20" s="128"/>
      <c r="E20" s="137"/>
      <c r="F20" s="134">
        <f>SUM(F21:F25)</f>
        <v>0</v>
      </c>
      <c r="G20" s="135" t="str">
        <f>IF(OR((ROUND(B20,0))=(ROUND(F20,0))),"ZGODNE","FAŁSZ")</f>
        <v>ZGODNE</v>
      </c>
      <c r="H20" s="133"/>
      <c r="I20" s="133"/>
      <c r="J20" s="133"/>
      <c r="K20" s="133"/>
      <c r="L20" s="152"/>
      <c r="M20" s="152"/>
    </row>
    <row r="21" spans="1:14" x14ac:dyDescent="0.2">
      <c r="A21" s="177" t="s">
        <v>98</v>
      </c>
      <c r="B21" s="162">
        <f>'Zał. 9 do SWZ'!AQ5</f>
        <v>0</v>
      </c>
      <c r="C21" s="150" t="s">
        <v>62</v>
      </c>
      <c r="D21" s="128"/>
      <c r="E21" s="128"/>
      <c r="F21" s="136">
        <f>ROUND($B5*B14/100,2)</f>
        <v>0</v>
      </c>
      <c r="G21" s="140"/>
      <c r="H21" s="133"/>
      <c r="I21" s="133"/>
      <c r="J21" s="133"/>
      <c r="K21" s="133"/>
      <c r="L21" s="152"/>
      <c r="M21" s="152"/>
    </row>
    <row r="22" spans="1:14" x14ac:dyDescent="0.2">
      <c r="A22" s="178" t="s">
        <v>20</v>
      </c>
      <c r="B22" s="162">
        <f>'Zał. 9 do SWZ'!AS5</f>
        <v>0</v>
      </c>
      <c r="C22" s="150" t="s">
        <v>62</v>
      </c>
      <c r="D22" s="128"/>
      <c r="E22" s="128"/>
      <c r="F22" s="136">
        <f>ROUND($B6*B15/100,2)</f>
        <v>0</v>
      </c>
      <c r="G22" s="140"/>
      <c r="H22" s="133"/>
      <c r="I22" s="133"/>
      <c r="J22" s="133"/>
      <c r="K22" s="133"/>
      <c r="L22" s="152"/>
      <c r="M22" s="152"/>
    </row>
    <row r="23" spans="1:14" x14ac:dyDescent="0.2">
      <c r="A23" s="178" t="s">
        <v>26</v>
      </c>
      <c r="B23" s="162">
        <f>'Zał. 9 do SWZ'!AT5</f>
        <v>0</v>
      </c>
      <c r="C23" s="150" t="s">
        <v>62</v>
      </c>
      <c r="D23" s="128"/>
      <c r="E23" s="128"/>
      <c r="F23" s="136">
        <f>ROUND($B7*B16/100,2)</f>
        <v>0</v>
      </c>
      <c r="G23" s="140"/>
      <c r="H23" s="133"/>
      <c r="I23" s="133"/>
      <c r="J23" s="133"/>
      <c r="K23" s="133"/>
      <c r="L23" s="152"/>
      <c r="M23" s="152"/>
    </row>
    <row r="24" spans="1:14" x14ac:dyDescent="0.2">
      <c r="A24" s="178" t="s">
        <v>94</v>
      </c>
      <c r="B24" s="162">
        <f>'Zał. 9 do SWZ'!AU5</f>
        <v>0</v>
      </c>
      <c r="C24" s="150" t="s">
        <v>62</v>
      </c>
      <c r="D24" s="128"/>
      <c r="E24" s="128"/>
      <c r="F24" s="136">
        <f>ROUND($B8*B17/100,2)</f>
        <v>0</v>
      </c>
      <c r="G24" s="140"/>
      <c r="H24" s="133"/>
      <c r="I24" s="133"/>
      <c r="J24" s="133"/>
      <c r="K24" s="234"/>
      <c r="L24" s="152"/>
      <c r="M24" s="152"/>
    </row>
    <row r="25" spans="1:14" x14ac:dyDescent="0.2">
      <c r="A25" s="178" t="s">
        <v>96</v>
      </c>
      <c r="B25" s="162">
        <f>'Zał. 9 do SWZ'!AV5</f>
        <v>0</v>
      </c>
      <c r="C25" s="150" t="s">
        <v>62</v>
      </c>
      <c r="D25" s="128"/>
      <c r="E25" s="128"/>
      <c r="F25" s="136">
        <f>ROUND($B9*B18/100,2)</f>
        <v>0</v>
      </c>
      <c r="G25" s="140"/>
      <c r="H25" s="133"/>
      <c r="I25" s="133"/>
      <c r="J25" s="133"/>
      <c r="K25" s="226"/>
      <c r="L25" s="152"/>
      <c r="M25" s="152"/>
    </row>
    <row r="26" spans="1:14" x14ac:dyDescent="0.2">
      <c r="C26" s="143"/>
      <c r="G26" s="160"/>
      <c r="H26" s="133"/>
      <c r="I26" s="234"/>
      <c r="J26" s="234"/>
      <c r="K26" s="226"/>
      <c r="L26" s="152"/>
      <c r="M26" s="152"/>
    </row>
    <row r="27" spans="1:14" ht="23.25" customHeight="1" x14ac:dyDescent="0.2">
      <c r="A27" s="148" t="s">
        <v>68</v>
      </c>
      <c r="B27" s="163" t="s">
        <v>75</v>
      </c>
      <c r="C27" s="164"/>
      <c r="D27" s="165">
        <v>12</v>
      </c>
      <c r="E27" s="164"/>
      <c r="F27" s="166" t="s">
        <v>63</v>
      </c>
      <c r="G27" s="161">
        <f>SUM('Zał. 9 do SWZ'!AI5:AO5)</f>
        <v>0</v>
      </c>
      <c r="H27" s="128"/>
      <c r="I27" s="235">
        <f>SUM(I28:I32)</f>
        <v>0</v>
      </c>
      <c r="J27" s="236" t="str">
        <f>IF(OR((ROUND(I27,2))=(ROUND(G27,2))),"ZGODNE","FAŁSZ")</f>
        <v>ZGODNE</v>
      </c>
      <c r="K27" s="226"/>
      <c r="L27" s="152"/>
      <c r="M27" s="152"/>
    </row>
    <row r="28" spans="1:14" x14ac:dyDescent="0.2">
      <c r="A28" s="177" t="s">
        <v>98</v>
      </c>
      <c r="B28" s="251">
        <v>0</v>
      </c>
      <c r="C28" s="150" t="s">
        <v>64</v>
      </c>
      <c r="D28" s="162">
        <f t="shared" ref="D28:D32" si="0">ROUND($D$27*B28,2)</f>
        <v>0</v>
      </c>
      <c r="E28" s="150" t="s">
        <v>85</v>
      </c>
      <c r="F28" s="150">
        <v>1</v>
      </c>
      <c r="G28" s="162">
        <f>'Zał. 9 do SWZ'!AJ5</f>
        <v>0</v>
      </c>
      <c r="H28" s="128"/>
      <c r="I28" s="237">
        <f>'Zał. 9 do SWZ'!AJ5</f>
        <v>0</v>
      </c>
      <c r="J28" s="238"/>
      <c r="K28" s="226"/>
      <c r="L28" s="152"/>
      <c r="M28" s="152"/>
    </row>
    <row r="29" spans="1:14" x14ac:dyDescent="0.2">
      <c r="A29" s="178" t="s">
        <v>20</v>
      </c>
      <c r="B29" s="251">
        <v>0</v>
      </c>
      <c r="C29" s="150" t="s">
        <v>64</v>
      </c>
      <c r="D29" s="162">
        <f t="shared" si="0"/>
        <v>0</v>
      </c>
      <c r="E29" s="150" t="s">
        <v>85</v>
      </c>
      <c r="F29" s="150">
        <v>5</v>
      </c>
      <c r="G29" s="162">
        <f>'Zał. 9 do SWZ'!AL5</f>
        <v>0</v>
      </c>
      <c r="H29" s="128"/>
      <c r="I29" s="237">
        <f>'Zał. 9 do SWZ'!AL5</f>
        <v>0</v>
      </c>
      <c r="J29" s="238"/>
      <c r="K29" s="226"/>
      <c r="L29" s="152"/>
      <c r="M29" s="152"/>
    </row>
    <row r="30" spans="1:14" x14ac:dyDescent="0.2">
      <c r="A30" s="178" t="s">
        <v>26</v>
      </c>
      <c r="B30" s="251">
        <v>0</v>
      </c>
      <c r="C30" s="150" t="s">
        <v>64</v>
      </c>
      <c r="D30" s="162">
        <f>ROUND($D$27*B30,2)</f>
        <v>0</v>
      </c>
      <c r="E30" s="150" t="s">
        <v>85</v>
      </c>
      <c r="F30" s="150">
        <v>3</v>
      </c>
      <c r="G30" s="162">
        <f>'Zał. 9 do SWZ'!AM5</f>
        <v>0</v>
      </c>
      <c r="H30" s="128"/>
      <c r="I30" s="237">
        <f>'Zał. 9 do SWZ'!AM5</f>
        <v>0</v>
      </c>
      <c r="J30" s="238"/>
      <c r="K30" s="226"/>
      <c r="L30" s="152"/>
      <c r="M30" s="152"/>
    </row>
    <row r="31" spans="1:14" x14ac:dyDescent="0.2">
      <c r="A31" s="178" t="s">
        <v>94</v>
      </c>
      <c r="B31" s="251">
        <v>0</v>
      </c>
      <c r="C31" s="150" t="s">
        <v>64</v>
      </c>
      <c r="D31" s="162">
        <f t="shared" si="0"/>
        <v>0</v>
      </c>
      <c r="E31" s="150" t="s">
        <v>85</v>
      </c>
      <c r="F31" s="150">
        <v>2</v>
      </c>
      <c r="G31" s="162">
        <f>'Zał. 9 do SWZ'!AN5</f>
        <v>0</v>
      </c>
      <c r="H31" s="128"/>
      <c r="I31" s="237">
        <f>'Zał. 9 do SWZ'!AN5</f>
        <v>0</v>
      </c>
      <c r="J31" s="238"/>
      <c r="K31" s="238"/>
      <c r="L31" s="152"/>
      <c r="M31" s="152"/>
    </row>
    <row r="32" spans="1:14" x14ac:dyDescent="0.2">
      <c r="A32" s="178" t="s">
        <v>96</v>
      </c>
      <c r="B32" s="251">
        <v>0</v>
      </c>
      <c r="C32" s="150" t="s">
        <v>64</v>
      </c>
      <c r="D32" s="162">
        <f t="shared" si="0"/>
        <v>0</v>
      </c>
      <c r="E32" s="150" t="s">
        <v>85</v>
      </c>
      <c r="F32" s="164">
        <v>2</v>
      </c>
      <c r="G32" s="162">
        <f>'Zał. 9 do SWZ'!AO5</f>
        <v>0</v>
      </c>
      <c r="H32" s="128"/>
      <c r="I32" s="237">
        <f>'Zał. 9 do SWZ'!AO5</f>
        <v>0</v>
      </c>
      <c r="J32" s="238"/>
      <c r="K32" s="236" t="str">
        <f>IF(OR((ROUND(J34,2))=(ROUND(H34,2))),"ZGODNE","FAŁSZ")</f>
        <v>FAŁSZ</v>
      </c>
      <c r="L32" s="152"/>
      <c r="N32" s="152"/>
    </row>
    <row r="33" spans="1:15" x14ac:dyDescent="0.2">
      <c r="H33" s="151"/>
      <c r="I33" s="239"/>
      <c r="J33" s="226"/>
      <c r="K33" s="238"/>
      <c r="L33" s="152"/>
      <c r="N33" s="152"/>
      <c r="O33" s="152"/>
    </row>
    <row r="34" spans="1:15" ht="25.5" x14ac:dyDescent="0.2">
      <c r="A34" s="276" t="s">
        <v>69</v>
      </c>
      <c r="B34" s="168" t="s">
        <v>71</v>
      </c>
      <c r="C34" s="169" t="s">
        <v>72</v>
      </c>
      <c r="D34" s="169" t="s">
        <v>72</v>
      </c>
      <c r="E34" s="168" t="s">
        <v>74</v>
      </c>
      <c r="F34" s="280" t="s">
        <v>73</v>
      </c>
      <c r="G34" s="278" t="s">
        <v>63</v>
      </c>
      <c r="H34" s="161">
        <f>SUM('Zał. 9 do SWZ'!AY5:BJ5)</f>
        <v>304731.55000000005</v>
      </c>
      <c r="I34" s="239"/>
      <c r="J34" s="235">
        <f>SUM(J36:J40)</f>
        <v>321243.8</v>
      </c>
      <c r="K34" s="238"/>
      <c r="L34" s="152"/>
      <c r="O34" s="152"/>
    </row>
    <row r="35" spans="1:15" x14ac:dyDescent="0.2">
      <c r="A35" s="277"/>
      <c r="B35" s="170" t="s">
        <v>58</v>
      </c>
      <c r="C35" s="147" t="s">
        <v>64</v>
      </c>
      <c r="D35" s="170" t="s">
        <v>84</v>
      </c>
      <c r="E35" s="170" t="s">
        <v>61</v>
      </c>
      <c r="F35" s="281"/>
      <c r="G35" s="278"/>
      <c r="H35" s="147" t="s">
        <v>59</v>
      </c>
      <c r="I35" s="239"/>
      <c r="J35" s="235"/>
      <c r="K35" s="238"/>
      <c r="L35" s="152"/>
      <c r="O35" s="152"/>
    </row>
    <row r="36" spans="1:15" x14ac:dyDescent="0.2">
      <c r="A36" s="177" t="s">
        <v>99</v>
      </c>
      <c r="B36" s="252">
        <v>4.4009999999999998</v>
      </c>
      <c r="C36" s="252">
        <v>8.94</v>
      </c>
      <c r="D36" s="252" t="s">
        <v>54</v>
      </c>
      <c r="E36" s="165" t="s">
        <v>54</v>
      </c>
      <c r="F36" s="165" t="s">
        <v>54</v>
      </c>
      <c r="G36" s="150">
        <f>F28</f>
        <v>1</v>
      </c>
      <c r="H36" s="171">
        <f>'Zał. 9 do SWZ'!AZ5+'Zał. 9 do SWZ'!BF5</f>
        <v>503.37</v>
      </c>
      <c r="I36" s="239"/>
      <c r="J36" s="240">
        <f>ROUND((B36*B14/100)+(C36*$D$27*G36),2)</f>
        <v>503.37</v>
      </c>
      <c r="K36" s="226"/>
      <c r="L36" s="151"/>
      <c r="O36" s="152"/>
    </row>
    <row r="37" spans="1:15" x14ac:dyDescent="0.2">
      <c r="A37" s="176" t="s">
        <v>92</v>
      </c>
      <c r="B37" s="252">
        <v>3.96</v>
      </c>
      <c r="C37" s="252">
        <v>23.42</v>
      </c>
      <c r="D37" s="252" t="s">
        <v>54</v>
      </c>
      <c r="E37" s="165" t="s">
        <v>54</v>
      </c>
      <c r="F37" s="165" t="s">
        <v>54</v>
      </c>
      <c r="G37" s="150">
        <f>F29</f>
        <v>5</v>
      </c>
      <c r="H37" s="171">
        <f>'Zał. 9 do SWZ'!BA5+'Zał. 9 do SWZ'!BG5</f>
        <v>17344.2</v>
      </c>
      <c r="I37" s="239"/>
      <c r="J37" s="240">
        <f>ROUND((B37*D15/100)+(C37*$D$27*G37),2)</f>
        <v>17344.2</v>
      </c>
      <c r="K37" s="226"/>
      <c r="L37" s="151"/>
      <c r="O37" s="152"/>
    </row>
    <row r="38" spans="1:15" x14ac:dyDescent="0.2">
      <c r="A38" s="178" t="s">
        <v>93</v>
      </c>
      <c r="B38" s="252">
        <v>3.44</v>
      </c>
      <c r="C38" s="252">
        <v>165.2</v>
      </c>
      <c r="D38" s="252" t="s">
        <v>54</v>
      </c>
      <c r="E38" s="165" t="s">
        <v>54</v>
      </c>
      <c r="F38" s="165" t="s">
        <v>54</v>
      </c>
      <c r="G38" s="150">
        <f>F30</f>
        <v>3</v>
      </c>
      <c r="H38" s="171">
        <f>'Zał. 9 do SWZ'!BB5+'Zał. 9 do SWZ'!BH5</f>
        <v>20016.8</v>
      </c>
      <c r="I38" s="239"/>
      <c r="J38" s="240">
        <f>ROUND((B38*B16/100)+(C38*$D$27*G38),2)</f>
        <v>20016.8</v>
      </c>
      <c r="K38" s="226"/>
      <c r="L38" s="151"/>
    </row>
    <row r="39" spans="1:15" x14ac:dyDescent="0.2">
      <c r="A39" s="178" t="s">
        <v>95</v>
      </c>
      <c r="B39" s="252">
        <v>1.76</v>
      </c>
      <c r="C39" s="252" t="s">
        <v>54</v>
      </c>
      <c r="D39" s="253">
        <v>0.61199999999999999</v>
      </c>
      <c r="E39" s="172">
        <f>ROUND(SUM('Zał. 9 do SWZ'!L5:L29)-E40,0)</f>
        <v>1120</v>
      </c>
      <c r="F39" s="172">
        <v>8760</v>
      </c>
      <c r="G39" s="150">
        <f>F31</f>
        <v>2</v>
      </c>
      <c r="H39" s="173">
        <f>'Zał. 9 do SWZ'!BC5+'Zał. 9 do SWZ'!BI5</f>
        <v>67209.570000000007</v>
      </c>
      <c r="I39" s="239"/>
      <c r="J39" s="241">
        <f>ROUND((((B39*B17)+(D39*E39*F39))/100),2)</f>
        <v>83721.820000000007</v>
      </c>
    </row>
    <row r="40" spans="1:15" x14ac:dyDescent="0.2">
      <c r="A40" s="178" t="s">
        <v>97</v>
      </c>
      <c r="B40" s="252">
        <v>1.748</v>
      </c>
      <c r="C40" s="252" t="s">
        <v>54</v>
      </c>
      <c r="D40" s="253">
        <v>0.57699999999999996</v>
      </c>
      <c r="E40" s="172">
        <f>'Zał. 9 do SWZ'!L10+'Zał. 9 do SWZ'!L18</f>
        <v>2029</v>
      </c>
      <c r="F40" s="172">
        <v>8760</v>
      </c>
      <c r="G40" s="164">
        <f>F32</f>
        <v>2</v>
      </c>
      <c r="H40" s="171">
        <f>'Zał. 9 do SWZ'!BD5+'Zał. 9 do SWZ'!BJ5</f>
        <v>199657.61</v>
      </c>
      <c r="I40" s="239"/>
      <c r="J40" s="240">
        <f>ROUND((((B40*B18)+(D40*E40*F40))/100),2)</f>
        <v>199657.61</v>
      </c>
    </row>
    <row r="41" spans="1:15" ht="12.75" customHeight="1" x14ac:dyDescent="0.2">
      <c r="J41" s="226"/>
    </row>
    <row r="42" spans="1:15" ht="12.75" customHeight="1" x14ac:dyDescent="0.2">
      <c r="E42" s="167"/>
      <c r="F42" s="134">
        <f>'Zał. A'!N7</f>
        <v>313765.26999999996</v>
      </c>
      <c r="G42" s="135" t="str">
        <f>IF(OR((ROUND(F42,2))=(ROUND(L1,2))),"ZGODNE","FAŁSZ")</f>
        <v>FAŁSZ</v>
      </c>
      <c r="H42" s="133"/>
      <c r="I42" s="152"/>
      <c r="J42" s="224"/>
    </row>
    <row r="43" spans="1:15" ht="12.75" customHeight="1" x14ac:dyDescent="0.2">
      <c r="E43" s="151"/>
      <c r="F43" s="141"/>
      <c r="G43" s="141"/>
      <c r="H43" s="128"/>
      <c r="J43" s="151"/>
    </row>
    <row r="44" spans="1:15" ht="12.75" customHeight="1" x14ac:dyDescent="0.2">
      <c r="E44" s="151"/>
      <c r="F44" s="141">
        <f>ROUND(L1*0.23,2)</f>
        <v>72580.12</v>
      </c>
      <c r="G44" s="141"/>
      <c r="H44" s="128"/>
      <c r="J44" s="151"/>
    </row>
    <row r="45" spans="1:15" ht="12.75" customHeight="1" x14ac:dyDescent="0.2">
      <c r="E45" s="151"/>
      <c r="F45" s="141"/>
      <c r="G45" s="128"/>
      <c r="H45" s="128"/>
    </row>
    <row r="46" spans="1:15" ht="12.75" customHeight="1" x14ac:dyDescent="0.2">
      <c r="E46" s="167"/>
      <c r="F46" s="134" t="e">
        <f>'Zał. A'!#REF!</f>
        <v>#REF!</v>
      </c>
      <c r="G46" s="135" t="e">
        <f>IF(OR((ROUND(F46,2))=(ROUND(#REF!,2))),"ZGODNE","FAŁSZ")</f>
        <v>#REF!</v>
      </c>
      <c r="H46" s="128"/>
    </row>
    <row r="47" spans="1:15" x14ac:dyDescent="0.2">
      <c r="E47" s="151"/>
      <c r="F47" s="141"/>
      <c r="G47" s="128"/>
      <c r="H47" s="128"/>
    </row>
    <row r="48" spans="1:15" x14ac:dyDescent="0.2">
      <c r="B48" s="174"/>
      <c r="F48" s="174"/>
    </row>
  </sheetData>
  <protectedRanges>
    <protectedRange sqref="C36:C38" name="Zakres4"/>
    <protectedRange sqref="B36:B40" name="Zakres3"/>
    <protectedRange sqref="B28:B32" name="Zakres2"/>
    <protectedRange sqref="B5:B9" name="Zakres1"/>
    <protectedRange sqref="D39:D40" name="Zakres5_1"/>
  </protectedRanges>
  <mergeCells count="6">
    <mergeCell ref="A34:A35"/>
    <mergeCell ref="G34:G35"/>
    <mergeCell ref="D1:F1"/>
    <mergeCell ref="F34:F35"/>
    <mergeCell ref="D3:I3"/>
    <mergeCell ref="D2:H2"/>
  </mergeCell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4"/>
  <sheetViews>
    <sheetView tabSelected="1" topLeftCell="AE1" zoomScaleNormal="100" workbookViewId="0">
      <selection activeCell="BM7" sqref="BM7"/>
    </sheetView>
  </sheetViews>
  <sheetFormatPr defaultColWidth="10.7109375" defaultRowHeight="11.25" x14ac:dyDescent="0.2"/>
  <cols>
    <col min="1" max="1" width="5.140625" style="25" hidden="1" customWidth="1"/>
    <col min="2" max="2" width="5.140625" style="105" hidden="1" customWidth="1"/>
    <col min="3" max="3" width="9.28515625" style="27" customWidth="1"/>
    <col min="4" max="4" width="9.28515625" style="106" customWidth="1"/>
    <col min="5" max="5" width="54.85546875" style="30" customWidth="1"/>
    <col min="6" max="6" width="19.5703125" style="30" customWidth="1"/>
    <col min="7" max="7" width="21.28515625" style="31" customWidth="1"/>
    <col min="8" max="8" width="17.42578125" style="31" customWidth="1"/>
    <col min="9" max="9" width="12.85546875" style="31" customWidth="1"/>
    <col min="10" max="10" width="11.5703125" style="31" customWidth="1"/>
    <col min="11" max="11" width="10.7109375" style="27" customWidth="1"/>
    <col min="12" max="12" width="10.5703125" style="27" customWidth="1"/>
    <col min="13" max="13" width="21.5703125" style="30" customWidth="1"/>
    <col min="14" max="14" width="32.5703125" style="30" customWidth="1"/>
    <col min="15" max="15" width="26.85546875" style="30" customWidth="1"/>
    <col min="16" max="16" width="12.140625" style="33" customWidth="1"/>
    <col min="17" max="17" width="12.85546875" style="34" hidden="1" customWidth="1"/>
    <col min="18" max="18" width="15.140625" style="34" hidden="1" customWidth="1"/>
    <col min="19" max="19" width="13.42578125" style="34" hidden="1" customWidth="1"/>
    <col min="20" max="20" width="14" style="35" hidden="1" customWidth="1"/>
    <col min="21" max="21" width="14.28515625" style="34" hidden="1" customWidth="1"/>
    <col min="22" max="22" width="17.42578125" style="34" hidden="1" customWidth="1"/>
    <col min="23" max="23" width="10.7109375" style="107" customWidth="1"/>
    <col min="24" max="24" width="0.140625" style="36" customWidth="1"/>
    <col min="25" max="25" width="11" style="37" customWidth="1"/>
    <col min="26" max="26" width="8.28515625" style="34" customWidth="1"/>
    <col min="27" max="28" width="9.5703125" style="34" customWidth="1"/>
    <col min="29" max="29" width="11.28515625" style="34" customWidth="1"/>
    <col min="30" max="30" width="8" style="34" customWidth="1"/>
    <col min="31" max="31" width="11.140625" style="34" customWidth="1"/>
    <col min="32" max="32" width="11" style="34" customWidth="1"/>
    <col min="33" max="33" width="9.42578125" style="106" customWidth="1"/>
    <col min="34" max="34" width="21.7109375" style="33" customWidth="1"/>
    <col min="35" max="35" width="8.42578125" style="34" customWidth="1"/>
    <col min="36" max="37" width="9.5703125" style="34" customWidth="1"/>
    <col min="38" max="38" width="11.28515625" style="34" customWidth="1"/>
    <col min="39" max="39" width="8.140625" style="34" customWidth="1"/>
    <col min="40" max="40" width="11.140625" style="34" customWidth="1"/>
    <col min="41" max="41" width="10.5703125" style="34" customWidth="1"/>
    <col min="42" max="42" width="8.28515625" style="34" customWidth="1"/>
    <col min="43" max="44" width="9.5703125" style="34" customWidth="1"/>
    <col min="45" max="45" width="11.28515625" style="34" customWidth="1"/>
    <col min="46" max="46" width="10" style="34" customWidth="1"/>
    <col min="47" max="47" width="11.140625" style="34" customWidth="1"/>
    <col min="48" max="48" width="9.85546875" style="34" customWidth="1"/>
    <col min="49" max="50" width="18.85546875" style="33" customWidth="1"/>
    <col min="51" max="51" width="8.28515625" style="34" customWidth="1"/>
    <col min="52" max="52" width="9.5703125" style="34" customWidth="1"/>
    <col min="53" max="54" width="8.28515625" style="34" customWidth="1"/>
    <col min="55" max="55" width="11.140625" style="34" customWidth="1"/>
    <col min="56" max="56" width="10.7109375" style="34" customWidth="1"/>
    <col min="57" max="57" width="8.28515625" style="34" customWidth="1"/>
    <col min="58" max="58" width="9.5703125" style="34" customWidth="1"/>
    <col min="59" max="60" width="8.28515625" style="34" customWidth="1"/>
    <col min="61" max="61" width="11.140625" style="34" customWidth="1"/>
    <col min="62" max="62" width="9.7109375" style="34" customWidth="1"/>
    <col min="63" max="64" width="18.85546875" style="33" customWidth="1"/>
    <col min="65" max="65" width="15.7109375" style="33" customWidth="1"/>
    <col min="66" max="16384" width="10.7109375" style="33"/>
  </cols>
  <sheetData>
    <row r="1" spans="1:66" ht="17.25" customHeight="1" x14ac:dyDescent="0.2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6" s="1" customFormat="1" ht="56.65" customHeight="1" x14ac:dyDescent="0.2">
      <c r="A2" s="7"/>
      <c r="B2" s="9"/>
      <c r="C2" s="287" t="s">
        <v>5</v>
      </c>
      <c r="D2" s="287" t="s">
        <v>4</v>
      </c>
      <c r="E2" s="287" t="s">
        <v>6</v>
      </c>
      <c r="F2" s="287" t="s">
        <v>7</v>
      </c>
      <c r="G2" s="294" t="s">
        <v>8</v>
      </c>
      <c r="H2" s="292" t="s">
        <v>79</v>
      </c>
      <c r="I2" s="292" t="s">
        <v>80</v>
      </c>
      <c r="J2" s="289" t="s">
        <v>83</v>
      </c>
      <c r="K2" s="289"/>
      <c r="L2" s="289"/>
      <c r="M2" s="287" t="s">
        <v>81</v>
      </c>
      <c r="N2" s="287" t="s">
        <v>9</v>
      </c>
      <c r="O2" s="287" t="s">
        <v>10</v>
      </c>
      <c r="P2" s="296" t="s">
        <v>11</v>
      </c>
      <c r="Q2" s="291" t="s">
        <v>13</v>
      </c>
      <c r="R2" s="291"/>
      <c r="S2" s="291"/>
      <c r="T2" s="287" t="s">
        <v>76</v>
      </c>
      <c r="U2" s="295"/>
      <c r="V2" s="295"/>
      <c r="W2" s="288" t="s">
        <v>156</v>
      </c>
      <c r="X2" s="288"/>
      <c r="Y2" s="288"/>
      <c r="Z2" s="286" t="s">
        <v>157</v>
      </c>
      <c r="AA2" s="286"/>
      <c r="AB2" s="286"/>
      <c r="AC2" s="286"/>
      <c r="AD2" s="286"/>
      <c r="AE2" s="286"/>
      <c r="AF2" s="286"/>
      <c r="AG2" s="287" t="s">
        <v>12</v>
      </c>
      <c r="AH2" s="290" t="s">
        <v>77</v>
      </c>
      <c r="AI2" s="291" t="s">
        <v>56</v>
      </c>
      <c r="AJ2" s="291"/>
      <c r="AK2" s="291"/>
      <c r="AL2" s="291"/>
      <c r="AM2" s="291"/>
      <c r="AN2" s="291"/>
      <c r="AO2" s="291"/>
      <c r="AP2" s="291" t="s">
        <v>46</v>
      </c>
      <c r="AQ2" s="291"/>
      <c r="AR2" s="291"/>
      <c r="AS2" s="291"/>
      <c r="AT2" s="291"/>
      <c r="AU2" s="291"/>
      <c r="AV2" s="291"/>
      <c r="AW2" s="289" t="s">
        <v>46</v>
      </c>
      <c r="AX2" s="289"/>
      <c r="AY2" s="291" t="s">
        <v>66</v>
      </c>
      <c r="AZ2" s="291"/>
      <c r="BA2" s="291"/>
      <c r="BB2" s="291"/>
      <c r="BC2" s="291"/>
      <c r="BD2" s="291"/>
      <c r="BE2" s="291" t="s">
        <v>67</v>
      </c>
      <c r="BF2" s="291"/>
      <c r="BG2" s="291"/>
      <c r="BH2" s="291"/>
      <c r="BI2" s="291"/>
      <c r="BJ2" s="291"/>
      <c r="BK2" s="289" t="s">
        <v>47</v>
      </c>
      <c r="BL2" s="289"/>
      <c r="BM2" s="289" t="s">
        <v>48</v>
      </c>
    </row>
    <row r="3" spans="1:66" s="3" customFormat="1" ht="60.4" customHeight="1" x14ac:dyDescent="0.2">
      <c r="A3" s="8"/>
      <c r="B3" s="10"/>
      <c r="C3" s="287"/>
      <c r="D3" s="287"/>
      <c r="E3" s="287"/>
      <c r="F3" s="287"/>
      <c r="G3" s="294"/>
      <c r="H3" s="293"/>
      <c r="I3" s="293"/>
      <c r="J3" s="6" t="s">
        <v>70</v>
      </c>
      <c r="K3" s="6" t="s">
        <v>14</v>
      </c>
      <c r="L3" s="6" t="s">
        <v>15</v>
      </c>
      <c r="M3" s="287"/>
      <c r="N3" s="287"/>
      <c r="O3" s="287"/>
      <c r="P3" s="296"/>
      <c r="Q3" s="250" t="s">
        <v>137</v>
      </c>
      <c r="R3" s="250" t="s">
        <v>138</v>
      </c>
      <c r="S3" s="250" t="s">
        <v>139</v>
      </c>
      <c r="T3" s="2" t="s">
        <v>17</v>
      </c>
      <c r="U3" s="2" t="s">
        <v>140</v>
      </c>
      <c r="V3" s="2" t="s">
        <v>45</v>
      </c>
      <c r="W3" s="288"/>
      <c r="X3" s="288"/>
      <c r="Y3" s="288"/>
      <c r="Z3" s="2" t="s">
        <v>100</v>
      </c>
      <c r="AA3" s="2" t="s">
        <v>101</v>
      </c>
      <c r="AB3" s="2" t="s">
        <v>102</v>
      </c>
      <c r="AC3" s="2" t="s">
        <v>103</v>
      </c>
      <c r="AD3" s="2" t="s">
        <v>16</v>
      </c>
      <c r="AE3" s="2" t="s">
        <v>104</v>
      </c>
      <c r="AF3" s="2" t="s">
        <v>105</v>
      </c>
      <c r="AG3" s="287"/>
      <c r="AH3" s="290"/>
      <c r="AI3" s="2" t="s">
        <v>100</v>
      </c>
      <c r="AJ3" s="2" t="s">
        <v>101</v>
      </c>
      <c r="AK3" s="2" t="s">
        <v>102</v>
      </c>
      <c r="AL3" s="2" t="s">
        <v>103</v>
      </c>
      <c r="AM3" s="2" t="s">
        <v>16</v>
      </c>
      <c r="AN3" s="2" t="s">
        <v>104</v>
      </c>
      <c r="AO3" s="2" t="s">
        <v>105</v>
      </c>
      <c r="AP3" s="2" t="s">
        <v>100</v>
      </c>
      <c r="AQ3" s="2" t="s">
        <v>101</v>
      </c>
      <c r="AR3" s="2" t="s">
        <v>102</v>
      </c>
      <c r="AS3" s="2" t="s">
        <v>103</v>
      </c>
      <c r="AT3" s="2" t="s">
        <v>16</v>
      </c>
      <c r="AU3" s="2" t="s">
        <v>104</v>
      </c>
      <c r="AV3" s="2" t="s">
        <v>105</v>
      </c>
      <c r="AW3" s="6" t="s">
        <v>49</v>
      </c>
      <c r="AX3" s="5" t="s">
        <v>50</v>
      </c>
      <c r="AY3" s="2" t="s">
        <v>106</v>
      </c>
      <c r="AZ3" s="2" t="s">
        <v>107</v>
      </c>
      <c r="BA3" s="2" t="s">
        <v>108</v>
      </c>
      <c r="BB3" s="2" t="s">
        <v>109</v>
      </c>
      <c r="BC3" s="2" t="s">
        <v>110</v>
      </c>
      <c r="BD3" s="2" t="s">
        <v>111</v>
      </c>
      <c r="BE3" s="2" t="s">
        <v>106</v>
      </c>
      <c r="BF3" s="2" t="s">
        <v>107</v>
      </c>
      <c r="BG3" s="2" t="s">
        <v>108</v>
      </c>
      <c r="BH3" s="2" t="s">
        <v>109</v>
      </c>
      <c r="BI3" s="2" t="s">
        <v>110</v>
      </c>
      <c r="BJ3" s="2" t="s">
        <v>111</v>
      </c>
      <c r="BK3" s="6" t="s">
        <v>51</v>
      </c>
      <c r="BL3" s="6" t="s">
        <v>52</v>
      </c>
      <c r="BM3" s="289"/>
      <c r="BN3" s="23"/>
    </row>
    <row r="4" spans="1:66" s="23" customFormat="1" ht="56.25" x14ac:dyDescent="0.2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91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53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</row>
    <row r="5" spans="1:66" s="24" customFormat="1" ht="21" customHeight="1" x14ac:dyDescent="0.2">
      <c r="A5" s="11">
        <v>1</v>
      </c>
      <c r="B5" s="12"/>
      <c r="C5" s="13"/>
      <c r="D5" s="14"/>
      <c r="E5" s="15" t="s">
        <v>142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>
        <f>Q6+Q25</f>
        <v>155066</v>
      </c>
      <c r="R5" s="21">
        <f t="shared" ref="R5:W5" si="0">R6+R25</f>
        <v>136247</v>
      </c>
      <c r="S5" s="21">
        <f t="shared" si="0"/>
        <v>136924</v>
      </c>
      <c r="T5" s="21">
        <f t="shared" si="0"/>
        <v>181590</v>
      </c>
      <c r="U5" s="21">
        <f t="shared" si="0"/>
        <v>142745.66666666669</v>
      </c>
      <c r="V5" s="21">
        <f t="shared" si="0"/>
        <v>157020.23333333334</v>
      </c>
      <c r="W5" s="21">
        <f t="shared" si="0"/>
        <v>692400</v>
      </c>
      <c r="X5" s="21">
        <f t="shared" ref="X5:AF5" si="1">X6+X25</f>
        <v>7616400</v>
      </c>
      <c r="Y5" s="21">
        <f t="shared" si="1"/>
        <v>7720800</v>
      </c>
      <c r="Z5" s="21">
        <f t="shared" si="1"/>
        <v>0</v>
      </c>
      <c r="AA5" s="21">
        <f t="shared" si="1"/>
        <v>9000</v>
      </c>
      <c r="AB5" s="21">
        <f t="shared" si="1"/>
        <v>0</v>
      </c>
      <c r="AC5" s="21">
        <f t="shared" si="1"/>
        <v>402500</v>
      </c>
      <c r="AD5" s="21">
        <f t="shared" si="1"/>
        <v>409000</v>
      </c>
      <c r="AE5" s="21">
        <f t="shared" si="1"/>
        <v>1345300</v>
      </c>
      <c r="AF5" s="21">
        <f t="shared" si="1"/>
        <v>5555000</v>
      </c>
      <c r="AG5" s="21"/>
      <c r="AH5" s="21"/>
      <c r="AI5" s="22">
        <f>AI6+AI25</f>
        <v>0</v>
      </c>
      <c r="AJ5" s="22">
        <f t="shared" ref="AJ5:AV5" si="2">AJ6+AJ25</f>
        <v>0</v>
      </c>
      <c r="AK5" s="22">
        <f t="shared" si="2"/>
        <v>0</v>
      </c>
      <c r="AL5" s="22">
        <f t="shared" si="2"/>
        <v>0</v>
      </c>
      <c r="AM5" s="22">
        <f t="shared" si="2"/>
        <v>0</v>
      </c>
      <c r="AN5" s="22">
        <f t="shared" si="2"/>
        <v>0</v>
      </c>
      <c r="AO5" s="22">
        <f t="shared" si="2"/>
        <v>0</v>
      </c>
      <c r="AP5" s="22">
        <f t="shared" si="2"/>
        <v>0</v>
      </c>
      <c r="AQ5" s="22">
        <f t="shared" si="2"/>
        <v>0</v>
      </c>
      <c r="AR5" s="22">
        <f t="shared" si="2"/>
        <v>0</v>
      </c>
      <c r="AS5" s="22">
        <f t="shared" si="2"/>
        <v>0</v>
      </c>
      <c r="AT5" s="22">
        <f t="shared" si="2"/>
        <v>0</v>
      </c>
      <c r="AU5" s="22">
        <f t="shared" si="2"/>
        <v>0</v>
      </c>
      <c r="AV5" s="22">
        <f t="shared" si="2"/>
        <v>0</v>
      </c>
      <c r="AW5" s="22">
        <f>AW6+AW25</f>
        <v>0</v>
      </c>
      <c r="AX5" s="22">
        <f>AX6+AX25</f>
        <v>10834.2</v>
      </c>
      <c r="AY5" s="22">
        <f>AY6+AY25</f>
        <v>0</v>
      </c>
      <c r="AZ5" s="22">
        <f t="shared" ref="AZ5:BJ5" si="3">AZ6+AZ25</f>
        <v>396.09</v>
      </c>
      <c r="BA5" s="22">
        <f t="shared" si="3"/>
        <v>15939</v>
      </c>
      <c r="BB5" s="22">
        <f t="shared" si="3"/>
        <v>14069.599999999999</v>
      </c>
      <c r="BC5" s="22">
        <f t="shared" si="3"/>
        <v>23677.279999999999</v>
      </c>
      <c r="BD5" s="22">
        <f t="shared" si="3"/>
        <v>97101.4</v>
      </c>
      <c r="BE5" s="22">
        <f t="shared" si="3"/>
        <v>0</v>
      </c>
      <c r="BF5" s="22">
        <f t="shared" si="3"/>
        <v>107.28</v>
      </c>
      <c r="BG5" s="22">
        <f t="shared" si="3"/>
        <v>1405.2</v>
      </c>
      <c r="BH5" s="22">
        <f t="shared" si="3"/>
        <v>5947.2000000000007</v>
      </c>
      <c r="BI5" s="22">
        <f t="shared" si="3"/>
        <v>43532.29</v>
      </c>
      <c r="BJ5" s="22">
        <f t="shared" si="3"/>
        <v>102556.20999999999</v>
      </c>
      <c r="BK5" s="22">
        <f>BK6+BK25</f>
        <v>151183.37</v>
      </c>
      <c r="BL5" s="22">
        <f t="shared" ref="BL5:BM5" si="4">BL6+BL25</f>
        <v>153548.17999999996</v>
      </c>
      <c r="BM5" s="22">
        <f t="shared" si="4"/>
        <v>315565.75</v>
      </c>
      <c r="BN5" s="23"/>
    </row>
    <row r="6" spans="1:66" ht="21" customHeight="1" x14ac:dyDescent="0.2">
      <c r="A6" s="11">
        <v>7</v>
      </c>
      <c r="B6" s="12"/>
      <c r="C6" s="69" t="s">
        <v>141</v>
      </c>
      <c r="D6" s="70"/>
      <c r="E6" s="71" t="s">
        <v>134</v>
      </c>
      <c r="F6" s="72"/>
      <c r="G6" s="73"/>
      <c r="H6" s="74"/>
      <c r="I6" s="74"/>
      <c r="J6" s="51"/>
      <c r="K6" s="51"/>
      <c r="L6" s="52"/>
      <c r="M6" s="75"/>
      <c r="N6" s="75"/>
      <c r="O6" s="75"/>
      <c r="P6" s="75"/>
      <c r="Q6" s="76">
        <f>Q7+Q9+Q13+Q19+Q21</f>
        <v>119283</v>
      </c>
      <c r="R6" s="76">
        <f t="shared" ref="R6:W6" si="5">R7+R9+R13+R19+R21</f>
        <v>101985</v>
      </c>
      <c r="S6" s="76">
        <f t="shared" si="5"/>
        <v>108404</v>
      </c>
      <c r="T6" s="76">
        <f t="shared" si="5"/>
        <v>145440</v>
      </c>
      <c r="U6" s="76">
        <f t="shared" si="5"/>
        <v>109890.66666666667</v>
      </c>
      <c r="V6" s="76">
        <f t="shared" si="5"/>
        <v>120879.73333333334</v>
      </c>
      <c r="W6" s="76">
        <f t="shared" si="5"/>
        <v>579400</v>
      </c>
      <c r="X6" s="76">
        <f t="shared" ref="X6:AF6" si="6">X7+X9+X13+X19+X21</f>
        <v>6373400</v>
      </c>
      <c r="Y6" s="76">
        <f>Y7+Y9+Y13+Y19+Y21+Y23</f>
        <v>6477800</v>
      </c>
      <c r="Z6" s="76">
        <f t="shared" ref="Z6:AF6" si="7">Z7+Z9+Z13+Z19+Z21+Z23</f>
        <v>0</v>
      </c>
      <c r="AA6" s="76">
        <f t="shared" si="7"/>
        <v>9000</v>
      </c>
      <c r="AB6" s="76">
        <f t="shared" si="7"/>
        <v>0</v>
      </c>
      <c r="AC6" s="76">
        <f t="shared" si="7"/>
        <v>402500</v>
      </c>
      <c r="AD6" s="76">
        <f t="shared" si="7"/>
        <v>409000</v>
      </c>
      <c r="AE6" s="76">
        <f t="shared" si="7"/>
        <v>102300</v>
      </c>
      <c r="AF6" s="76">
        <f t="shared" si="7"/>
        <v>5555000</v>
      </c>
      <c r="AG6" s="76"/>
      <c r="AH6" s="76"/>
      <c r="AI6" s="77">
        <f>AI7+AI9+AI13+AI19+AI21+AI23</f>
        <v>0</v>
      </c>
      <c r="AJ6" s="77">
        <f t="shared" ref="AJ6:BM6" si="8">AJ7+AJ9+AJ13+AJ19+AJ21+AJ23</f>
        <v>0</v>
      </c>
      <c r="AK6" s="77">
        <f t="shared" si="8"/>
        <v>0</v>
      </c>
      <c r="AL6" s="77">
        <f t="shared" si="8"/>
        <v>0</v>
      </c>
      <c r="AM6" s="77">
        <f t="shared" si="8"/>
        <v>0</v>
      </c>
      <c r="AN6" s="77">
        <f t="shared" si="8"/>
        <v>0</v>
      </c>
      <c r="AO6" s="77">
        <f t="shared" si="8"/>
        <v>0</v>
      </c>
      <c r="AP6" s="77">
        <f t="shared" si="8"/>
        <v>0</v>
      </c>
      <c r="AQ6" s="77">
        <f t="shared" si="8"/>
        <v>0</v>
      </c>
      <c r="AR6" s="77">
        <f t="shared" si="8"/>
        <v>0</v>
      </c>
      <c r="AS6" s="77">
        <f t="shared" si="8"/>
        <v>0</v>
      </c>
      <c r="AT6" s="77">
        <f t="shared" si="8"/>
        <v>0</v>
      </c>
      <c r="AU6" s="77">
        <f t="shared" si="8"/>
        <v>0</v>
      </c>
      <c r="AV6" s="77">
        <f t="shared" si="8"/>
        <v>0</v>
      </c>
      <c r="AW6" s="77">
        <f t="shared" si="8"/>
        <v>0</v>
      </c>
      <c r="AX6" s="77">
        <f t="shared" si="8"/>
        <v>7187.7</v>
      </c>
      <c r="AY6" s="77">
        <f t="shared" si="8"/>
        <v>0</v>
      </c>
      <c r="AZ6" s="77">
        <f t="shared" si="8"/>
        <v>396.09</v>
      </c>
      <c r="BA6" s="77">
        <f t="shared" si="8"/>
        <v>15939</v>
      </c>
      <c r="BB6" s="77">
        <f t="shared" si="8"/>
        <v>14069.599999999999</v>
      </c>
      <c r="BC6" s="77">
        <f t="shared" si="8"/>
        <v>1800.48</v>
      </c>
      <c r="BD6" s="77">
        <f t="shared" si="8"/>
        <v>97101.4</v>
      </c>
      <c r="BE6" s="77">
        <f t="shared" si="8"/>
        <v>0</v>
      </c>
      <c r="BF6" s="77">
        <f t="shared" si="8"/>
        <v>107.28</v>
      </c>
      <c r="BG6" s="77">
        <f t="shared" si="8"/>
        <v>1405.2</v>
      </c>
      <c r="BH6" s="77">
        <f t="shared" si="8"/>
        <v>5947.2000000000007</v>
      </c>
      <c r="BI6" s="77">
        <f t="shared" si="8"/>
        <v>0</v>
      </c>
      <c r="BJ6" s="77">
        <f t="shared" si="8"/>
        <v>102556.20999999999</v>
      </c>
      <c r="BK6" s="77">
        <f t="shared" si="8"/>
        <v>129306.56999999999</v>
      </c>
      <c r="BL6" s="77">
        <f t="shared" si="8"/>
        <v>110015.88999999997</v>
      </c>
      <c r="BM6" s="77">
        <f>BM7+BM9+BM13+BM19+BM21+BM23</f>
        <v>246510.15999999997</v>
      </c>
    </row>
    <row r="7" spans="1:66" s="189" customFormat="1" ht="21" customHeight="1" x14ac:dyDescent="0.2">
      <c r="A7" s="188">
        <v>12</v>
      </c>
      <c r="B7" s="78"/>
      <c r="C7" s="79">
        <v>1</v>
      </c>
      <c r="D7" s="80"/>
      <c r="E7" s="81" t="s">
        <v>129</v>
      </c>
      <c r="F7" s="81"/>
      <c r="G7" s="82"/>
      <c r="H7" s="83" t="s">
        <v>153</v>
      </c>
      <c r="I7" s="83" t="s">
        <v>152</v>
      </c>
      <c r="J7" s="84"/>
      <c r="K7" s="84"/>
      <c r="L7" s="85"/>
      <c r="M7" s="86"/>
      <c r="N7" s="86"/>
      <c r="O7" s="86"/>
      <c r="P7" s="86"/>
      <c r="Q7" s="87">
        <f>SUM(Q8)</f>
        <v>7537</v>
      </c>
      <c r="R7" s="87">
        <f t="shared" ref="R7:V7" si="9">SUM(R8)</f>
        <v>4538</v>
      </c>
      <c r="S7" s="87">
        <f t="shared" si="9"/>
        <v>6211</v>
      </c>
      <c r="T7" s="87">
        <f t="shared" si="9"/>
        <v>6710</v>
      </c>
      <c r="U7" s="87">
        <f t="shared" si="9"/>
        <v>6095.333333333333</v>
      </c>
      <c r="V7" s="87">
        <f t="shared" si="9"/>
        <v>6704.8666666666668</v>
      </c>
      <c r="W7" s="87">
        <f>SUM(W8:W8)</f>
        <v>7500</v>
      </c>
      <c r="X7" s="87">
        <f t="shared" ref="X7:Y7" si="10">SUM(X8:X8)</f>
        <v>82500</v>
      </c>
      <c r="Y7" s="87">
        <f t="shared" si="10"/>
        <v>83000</v>
      </c>
      <c r="Z7" s="87">
        <f t="shared" ref="Z7" si="11">SUM(Z8:Z8)</f>
        <v>0</v>
      </c>
      <c r="AA7" s="87">
        <f t="shared" ref="AA7" si="12">SUM(AA8:AA8)</f>
        <v>0</v>
      </c>
      <c r="AB7" s="87">
        <f t="shared" ref="AB7" si="13">SUM(AB8:AB8)</f>
        <v>0</v>
      </c>
      <c r="AC7" s="87">
        <f t="shared" ref="AC7" si="14">SUM(AC8:AC8)</f>
        <v>83000</v>
      </c>
      <c r="AD7" s="87">
        <f t="shared" ref="AD7" si="15">SUM(AD8:AD8)</f>
        <v>0</v>
      </c>
      <c r="AE7" s="87">
        <f t="shared" ref="AE7" si="16">SUM(AE8:AE8)</f>
        <v>0</v>
      </c>
      <c r="AF7" s="87">
        <f t="shared" ref="AF7" si="17">SUM(AF8:AF8)</f>
        <v>0</v>
      </c>
      <c r="AG7" s="89"/>
      <c r="AH7" s="89"/>
      <c r="AI7" s="89">
        <f>SUM(AI8:AI8)</f>
        <v>0</v>
      </c>
      <c r="AJ7" s="89">
        <f t="shared" ref="AJ7:AW7" si="18">SUM(AJ8:AJ8)</f>
        <v>0</v>
      </c>
      <c r="AK7" s="89">
        <f t="shared" si="18"/>
        <v>0</v>
      </c>
      <c r="AL7" s="89">
        <f t="shared" si="18"/>
        <v>0</v>
      </c>
      <c r="AM7" s="89">
        <f t="shared" si="18"/>
        <v>0</v>
      </c>
      <c r="AN7" s="89">
        <f t="shared" si="18"/>
        <v>0</v>
      </c>
      <c r="AO7" s="89">
        <f t="shared" si="18"/>
        <v>0</v>
      </c>
      <c r="AP7" s="89">
        <f t="shared" si="18"/>
        <v>0</v>
      </c>
      <c r="AQ7" s="89">
        <f t="shared" si="18"/>
        <v>0</v>
      </c>
      <c r="AR7" s="89">
        <f t="shared" si="18"/>
        <v>0</v>
      </c>
      <c r="AS7" s="89">
        <f t="shared" si="18"/>
        <v>0</v>
      </c>
      <c r="AT7" s="89">
        <f t="shared" si="18"/>
        <v>0</v>
      </c>
      <c r="AU7" s="89">
        <f t="shared" si="18"/>
        <v>0</v>
      </c>
      <c r="AV7" s="89">
        <f t="shared" si="18"/>
        <v>0</v>
      </c>
      <c r="AW7" s="89">
        <f t="shared" si="18"/>
        <v>0</v>
      </c>
      <c r="AX7" s="89"/>
      <c r="AY7" s="89">
        <f>SUM(AY8:AY8)</f>
        <v>0</v>
      </c>
      <c r="AZ7" s="89">
        <f t="shared" ref="AZ7:BK7" si="19">SUM(AZ8:AZ8)</f>
        <v>0</v>
      </c>
      <c r="BA7" s="89">
        <f t="shared" si="19"/>
        <v>3286.8</v>
      </c>
      <c r="BB7" s="89">
        <f t="shared" si="19"/>
        <v>0</v>
      </c>
      <c r="BC7" s="89">
        <f t="shared" si="19"/>
        <v>0</v>
      </c>
      <c r="BD7" s="89">
        <f t="shared" si="19"/>
        <v>0</v>
      </c>
      <c r="BE7" s="89">
        <f t="shared" si="19"/>
        <v>0</v>
      </c>
      <c r="BF7" s="89">
        <f t="shared" si="19"/>
        <v>0</v>
      </c>
      <c r="BG7" s="89">
        <f t="shared" si="19"/>
        <v>281.04000000000002</v>
      </c>
      <c r="BH7" s="89">
        <f t="shared" si="19"/>
        <v>0</v>
      </c>
      <c r="BI7" s="89">
        <f t="shared" si="19"/>
        <v>0</v>
      </c>
      <c r="BJ7" s="89">
        <f t="shared" si="19"/>
        <v>0</v>
      </c>
      <c r="BK7" s="89">
        <f t="shared" si="19"/>
        <v>3286.8</v>
      </c>
      <c r="BL7" s="89">
        <f t="shared" ref="BL7" si="20">SUM(BL8:BL8)</f>
        <v>281.04000000000002</v>
      </c>
      <c r="BM7" s="89">
        <f t="shared" ref="BM7" si="21">SUM(BM8:BM8)</f>
        <v>3567.84</v>
      </c>
    </row>
    <row r="8" spans="1:66" s="221" customFormat="1" ht="21" customHeight="1" x14ac:dyDescent="0.2">
      <c r="A8" s="198">
        <v>6</v>
      </c>
      <c r="B8" s="199">
        <v>4</v>
      </c>
      <c r="C8" s="200"/>
      <c r="D8" s="201">
        <v>1</v>
      </c>
      <c r="E8" s="180" t="s">
        <v>128</v>
      </c>
      <c r="F8" s="180" t="s">
        <v>35</v>
      </c>
      <c r="G8" s="182" t="s">
        <v>120</v>
      </c>
      <c r="H8" s="216"/>
      <c r="I8" s="216"/>
      <c r="J8" s="217" t="s">
        <v>20</v>
      </c>
      <c r="K8" s="217" t="s">
        <v>92</v>
      </c>
      <c r="L8" s="217"/>
      <c r="M8" s="181" t="s">
        <v>82</v>
      </c>
      <c r="N8" s="181" t="s">
        <v>21</v>
      </c>
      <c r="O8" s="180" t="s">
        <v>22</v>
      </c>
      <c r="P8" s="242" t="s">
        <v>23</v>
      </c>
      <c r="Q8" s="222">
        <v>7537</v>
      </c>
      <c r="R8" s="222">
        <v>4538</v>
      </c>
      <c r="S8" s="243">
        <v>6211</v>
      </c>
      <c r="T8" s="208">
        <f>CEILING(V8,10)</f>
        <v>6710</v>
      </c>
      <c r="U8" s="184">
        <f>(Q8+R8+S8)/3</f>
        <v>6095.333333333333</v>
      </c>
      <c r="V8" s="184">
        <f>U8*1.1</f>
        <v>6704.8666666666668</v>
      </c>
      <c r="W8" s="184">
        <v>7500</v>
      </c>
      <c r="X8" s="209">
        <f>ROUND(W8*11,2)</f>
        <v>82500</v>
      </c>
      <c r="Y8" s="248">
        <f>CEILING(X8,1000)</f>
        <v>83000</v>
      </c>
      <c r="Z8" s="184"/>
      <c r="AA8" s="184"/>
      <c r="AB8" s="184"/>
      <c r="AC8" s="184">
        <f>$Y8</f>
        <v>83000</v>
      </c>
      <c r="AD8" s="184"/>
      <c r="AE8" s="184"/>
      <c r="AF8" s="184"/>
      <c r="AG8" s="179" t="s">
        <v>24</v>
      </c>
      <c r="AH8" s="210" t="s">
        <v>54</v>
      </c>
      <c r="AI8" s="184"/>
      <c r="AJ8" s="184"/>
      <c r="AK8" s="184"/>
      <c r="AL8" s="183">
        <f>ROUND(Ceny!$B$29*12,2)</f>
        <v>0</v>
      </c>
      <c r="AM8" s="184"/>
      <c r="AN8" s="184"/>
      <c r="AO8" s="184"/>
      <c r="AP8" s="184"/>
      <c r="AQ8" s="184"/>
      <c r="AR8" s="184"/>
      <c r="AS8" s="183">
        <f>ROUND($Y8*Ceny!$B$6/100,2)</f>
        <v>0</v>
      </c>
      <c r="AT8" s="184"/>
      <c r="AU8" s="184"/>
      <c r="AV8" s="184"/>
      <c r="AW8" s="183">
        <f>ROUND(SUM(AP8:AV8),2)</f>
        <v>0</v>
      </c>
      <c r="AX8" s="222" t="s">
        <v>55</v>
      </c>
      <c r="AY8" s="184"/>
      <c r="AZ8" s="184"/>
      <c r="BA8" s="212">
        <f>ROUND(Ceny!$B$37*'Zał. 9 do SWZ'!AC8/100,2)</f>
        <v>3286.8</v>
      </c>
      <c r="BB8" s="184"/>
      <c r="BC8" s="184"/>
      <c r="BD8" s="184"/>
      <c r="BE8" s="184"/>
      <c r="BF8" s="184"/>
      <c r="BG8" s="212">
        <f>ROUND(Ceny!$C$37*12,2)</f>
        <v>281.04000000000002</v>
      </c>
      <c r="BH8" s="184"/>
      <c r="BI8" s="184"/>
      <c r="BJ8" s="184"/>
      <c r="BK8" s="183">
        <f>ROUND(SUM(AY8:BD8),2)</f>
        <v>3286.8</v>
      </c>
      <c r="BL8" s="183">
        <f>ROUND(SUM(BE8:BJ8),2)</f>
        <v>281.04000000000002</v>
      </c>
      <c r="BM8" s="213">
        <f>ROUND(SUM(AI8:AO8)+AW8+BK8+BL8,2)</f>
        <v>3567.84</v>
      </c>
    </row>
    <row r="9" spans="1:66" s="23" customFormat="1" ht="21" customHeight="1" x14ac:dyDescent="0.2">
      <c r="A9" s="11">
        <v>14</v>
      </c>
      <c r="B9" s="78"/>
      <c r="C9" s="79">
        <v>2</v>
      </c>
      <c r="D9" s="80"/>
      <c r="E9" s="81" t="s">
        <v>27</v>
      </c>
      <c r="F9" s="81"/>
      <c r="G9" s="82"/>
      <c r="H9" s="83" t="s">
        <v>151</v>
      </c>
      <c r="I9" s="83" t="s">
        <v>152</v>
      </c>
      <c r="J9" s="84"/>
      <c r="K9" s="84"/>
      <c r="L9" s="85"/>
      <c r="M9" s="86"/>
      <c r="N9" s="86"/>
      <c r="O9" s="86"/>
      <c r="P9" s="86"/>
      <c r="Q9" s="87">
        <f t="shared" ref="Q9:AF9" si="22">SUM(Q10:Q12)</f>
        <v>82241</v>
      </c>
      <c r="R9" s="87">
        <f t="shared" si="22"/>
        <v>72781</v>
      </c>
      <c r="S9" s="87">
        <f t="shared" si="22"/>
        <v>75873</v>
      </c>
      <c r="T9" s="87">
        <f t="shared" si="22"/>
        <v>109160</v>
      </c>
      <c r="U9" s="87">
        <f t="shared" si="22"/>
        <v>76965.000000000015</v>
      </c>
      <c r="V9" s="87">
        <f t="shared" si="22"/>
        <v>84661.5</v>
      </c>
      <c r="W9" s="87">
        <f t="shared" si="22"/>
        <v>123800</v>
      </c>
      <c r="X9" s="88">
        <f t="shared" si="22"/>
        <v>1361800</v>
      </c>
      <c r="Y9" s="87">
        <f t="shared" si="22"/>
        <v>1362000</v>
      </c>
      <c r="Z9" s="87">
        <f t="shared" si="22"/>
        <v>0</v>
      </c>
      <c r="AA9" s="87">
        <f t="shared" si="22"/>
        <v>9000</v>
      </c>
      <c r="AB9" s="87">
        <f t="shared" si="22"/>
        <v>0</v>
      </c>
      <c r="AC9" s="87">
        <f t="shared" si="22"/>
        <v>0</v>
      </c>
      <c r="AD9" s="87">
        <f t="shared" si="22"/>
        <v>198000</v>
      </c>
      <c r="AE9" s="87">
        <f t="shared" si="22"/>
        <v>0</v>
      </c>
      <c r="AF9" s="87">
        <f t="shared" si="22"/>
        <v>1155000</v>
      </c>
      <c r="AG9" s="89"/>
      <c r="AH9" s="89"/>
      <c r="AI9" s="89">
        <f t="shared" ref="AI9:BM9" si="23">SUM(AI10:AI12)</f>
        <v>0</v>
      </c>
      <c r="AJ9" s="89">
        <f t="shared" si="23"/>
        <v>0</v>
      </c>
      <c r="AK9" s="89">
        <f t="shared" si="23"/>
        <v>0</v>
      </c>
      <c r="AL9" s="89">
        <f t="shared" si="23"/>
        <v>0</v>
      </c>
      <c r="AM9" s="89">
        <f t="shared" si="23"/>
        <v>0</v>
      </c>
      <c r="AN9" s="89">
        <f t="shared" si="23"/>
        <v>0</v>
      </c>
      <c r="AO9" s="89">
        <f t="shared" si="23"/>
        <v>0</v>
      </c>
      <c r="AP9" s="89">
        <f t="shared" si="23"/>
        <v>0</v>
      </c>
      <c r="AQ9" s="89">
        <f t="shared" si="23"/>
        <v>0</v>
      </c>
      <c r="AR9" s="89">
        <f t="shared" si="23"/>
        <v>0</v>
      </c>
      <c r="AS9" s="89">
        <f t="shared" si="23"/>
        <v>0</v>
      </c>
      <c r="AT9" s="89">
        <f t="shared" si="23"/>
        <v>0</v>
      </c>
      <c r="AU9" s="89">
        <f t="shared" si="23"/>
        <v>0</v>
      </c>
      <c r="AV9" s="89">
        <f t="shared" si="23"/>
        <v>0</v>
      </c>
      <c r="AW9" s="89">
        <f t="shared" si="23"/>
        <v>0</v>
      </c>
      <c r="AX9" s="89">
        <f t="shared" si="23"/>
        <v>5311.8</v>
      </c>
      <c r="AY9" s="89">
        <f t="shared" si="23"/>
        <v>0</v>
      </c>
      <c r="AZ9" s="89">
        <f t="shared" si="23"/>
        <v>396.09</v>
      </c>
      <c r="BA9" s="89">
        <f t="shared" si="23"/>
        <v>0</v>
      </c>
      <c r="BB9" s="89">
        <f t="shared" si="23"/>
        <v>6811.2</v>
      </c>
      <c r="BC9" s="89">
        <f t="shared" si="23"/>
        <v>0</v>
      </c>
      <c r="BD9" s="89">
        <f t="shared" si="23"/>
        <v>20189.400000000001</v>
      </c>
      <c r="BE9" s="89">
        <f t="shared" si="23"/>
        <v>0</v>
      </c>
      <c r="BF9" s="89">
        <f t="shared" si="23"/>
        <v>107.28</v>
      </c>
      <c r="BG9" s="89">
        <f t="shared" si="23"/>
        <v>0</v>
      </c>
      <c r="BH9" s="89">
        <f t="shared" si="23"/>
        <v>1982.4</v>
      </c>
      <c r="BI9" s="89">
        <f t="shared" si="23"/>
        <v>0</v>
      </c>
      <c r="BJ9" s="89">
        <f t="shared" si="23"/>
        <v>66568.03</v>
      </c>
      <c r="BK9" s="89">
        <f t="shared" si="23"/>
        <v>27396.690000000002</v>
      </c>
      <c r="BL9" s="89">
        <f t="shared" si="23"/>
        <v>68657.709999999992</v>
      </c>
      <c r="BM9" s="89">
        <f t="shared" si="23"/>
        <v>101366.2</v>
      </c>
    </row>
    <row r="10" spans="1:66" ht="21" customHeight="1" x14ac:dyDescent="0.2">
      <c r="A10" s="11">
        <v>15</v>
      </c>
      <c r="B10" s="53">
        <v>9</v>
      </c>
      <c r="C10" s="54"/>
      <c r="D10" s="55">
        <v>1</v>
      </c>
      <c r="E10" s="181" t="s">
        <v>28</v>
      </c>
      <c r="F10" s="56" t="s">
        <v>29</v>
      </c>
      <c r="G10" s="57" t="s">
        <v>117</v>
      </c>
      <c r="H10" s="58"/>
      <c r="I10" s="58"/>
      <c r="J10" s="59" t="s">
        <v>96</v>
      </c>
      <c r="K10" s="59" t="s">
        <v>97</v>
      </c>
      <c r="L10" s="92">
        <v>1317</v>
      </c>
      <c r="M10" s="60" t="s">
        <v>82</v>
      </c>
      <c r="N10" s="60" t="s">
        <v>27</v>
      </c>
      <c r="O10" s="56" t="s">
        <v>29</v>
      </c>
      <c r="P10" s="42">
        <v>5732745883</v>
      </c>
      <c r="Q10" s="90">
        <v>65274</v>
      </c>
      <c r="R10" s="90">
        <v>57607</v>
      </c>
      <c r="S10" s="91">
        <v>61248</v>
      </c>
      <c r="T10" s="208">
        <v>92000</v>
      </c>
      <c r="U10" s="63">
        <f>(Q10+R10+S10)/3</f>
        <v>61376.333333333336</v>
      </c>
      <c r="V10" s="63">
        <f>U10*1.1</f>
        <v>67513.966666666674</v>
      </c>
      <c r="W10" s="184">
        <v>105000</v>
      </c>
      <c r="X10" s="64">
        <f>ROUND(W10*11,2)</f>
        <v>1155000</v>
      </c>
      <c r="Y10" s="248">
        <f>CEILING(X10,1000)</f>
        <v>1155000</v>
      </c>
      <c r="Z10" s="63"/>
      <c r="AA10" s="63"/>
      <c r="AB10" s="63"/>
      <c r="AC10" s="63"/>
      <c r="AD10" s="63"/>
      <c r="AE10" s="63"/>
      <c r="AF10" s="63">
        <f>Y10</f>
        <v>1155000</v>
      </c>
      <c r="AG10" s="256">
        <v>0.39</v>
      </c>
      <c r="AH10" s="5">
        <v>8760</v>
      </c>
      <c r="AI10" s="63"/>
      <c r="AJ10" s="63"/>
      <c r="AK10" s="63"/>
      <c r="AL10" s="63"/>
      <c r="AM10" s="63"/>
      <c r="AN10" s="63"/>
      <c r="AO10" s="65">
        <f>ROUND(Ceny!$B$32*12,2)</f>
        <v>0</v>
      </c>
      <c r="AP10" s="63"/>
      <c r="AQ10" s="63"/>
      <c r="AR10" s="63"/>
      <c r="AS10" s="63"/>
      <c r="AT10" s="63"/>
      <c r="AU10" s="63"/>
      <c r="AV10" s="65">
        <f>ROUND($Y10*Ceny!$B$9/100,2)</f>
        <v>0</v>
      </c>
      <c r="AW10" s="65">
        <f>ROUND(SUM(AP10:AV10),2)</f>
        <v>0</v>
      </c>
      <c r="AX10" s="93">
        <f>ROUND(AG10*Y10/100,2)</f>
        <v>4504.5</v>
      </c>
      <c r="AY10" s="63"/>
      <c r="AZ10" s="63"/>
      <c r="BA10" s="63"/>
      <c r="BB10" s="63"/>
      <c r="BC10" s="63"/>
      <c r="BD10" s="65">
        <f>ROUND(((Ceny!$B$40*AF10/100)),2)</f>
        <v>20189.400000000001</v>
      </c>
      <c r="BE10" s="63"/>
      <c r="BF10" s="63"/>
      <c r="BG10" s="63"/>
      <c r="BH10" s="63"/>
      <c r="BI10" s="63"/>
      <c r="BJ10" s="65">
        <f>ROUND((Ceny!$D$40*L10*AH10/100),2)</f>
        <v>66568.03</v>
      </c>
      <c r="BK10" s="183">
        <f>ROUND(SUM(AY10:BD10),2)</f>
        <v>20189.400000000001</v>
      </c>
      <c r="BL10" s="183">
        <f>ROUND(SUM(BE10:BJ10),2)</f>
        <v>66568.03</v>
      </c>
      <c r="BM10" s="67">
        <f>ROUND(SUM(AI10:AO10)+AW10+AX10+BK10+BL10,2)</f>
        <v>91261.93</v>
      </c>
    </row>
    <row r="11" spans="1:66" ht="21" customHeight="1" x14ac:dyDescent="0.2">
      <c r="A11" s="11">
        <v>16</v>
      </c>
      <c r="B11" s="53">
        <v>10</v>
      </c>
      <c r="C11" s="54"/>
      <c r="D11" s="55">
        <v>2</v>
      </c>
      <c r="E11" s="181" t="s">
        <v>30</v>
      </c>
      <c r="F11" s="56" t="s">
        <v>29</v>
      </c>
      <c r="G11" s="57" t="s">
        <v>118</v>
      </c>
      <c r="H11" s="58"/>
      <c r="I11" s="58"/>
      <c r="J11" s="59" t="s">
        <v>26</v>
      </c>
      <c r="K11" s="59" t="s">
        <v>93</v>
      </c>
      <c r="L11" s="59"/>
      <c r="M11" s="60" t="s">
        <v>82</v>
      </c>
      <c r="N11" s="60" t="s">
        <v>27</v>
      </c>
      <c r="O11" s="56" t="s">
        <v>29</v>
      </c>
      <c r="P11" s="42">
        <v>5732745883</v>
      </c>
      <c r="Q11" s="90">
        <v>16259</v>
      </c>
      <c r="R11" s="90">
        <v>14672</v>
      </c>
      <c r="S11" s="91">
        <v>13835</v>
      </c>
      <c r="T11" s="62">
        <f>CEILING(V11,10)</f>
        <v>16420</v>
      </c>
      <c r="U11" s="63">
        <f>(Q11+R11+S11)/3</f>
        <v>14922</v>
      </c>
      <c r="V11" s="63">
        <f>U11*1.1</f>
        <v>16414.2</v>
      </c>
      <c r="W11" s="184">
        <v>18000</v>
      </c>
      <c r="X11" s="64">
        <f>ROUND(W11*11,2)</f>
        <v>198000</v>
      </c>
      <c r="Y11" s="248">
        <f>CEILING(X11,1000)</f>
        <v>198000</v>
      </c>
      <c r="Z11" s="63"/>
      <c r="AA11" s="63"/>
      <c r="AB11" s="63"/>
      <c r="AC11" s="63"/>
      <c r="AD11" s="63">
        <f>Y11</f>
        <v>198000</v>
      </c>
      <c r="AE11" s="63"/>
      <c r="AF11" s="63"/>
      <c r="AG11" s="256">
        <v>0.39</v>
      </c>
      <c r="AH11" s="5" t="s">
        <v>54</v>
      </c>
      <c r="AI11" s="63"/>
      <c r="AJ11" s="63"/>
      <c r="AK11" s="63"/>
      <c r="AL11" s="63"/>
      <c r="AM11" s="65">
        <f>ROUND(Ceny!$B$30*12,2)</f>
        <v>0</v>
      </c>
      <c r="AN11" s="63"/>
      <c r="AO11" s="63"/>
      <c r="AP11" s="63"/>
      <c r="AQ11" s="63"/>
      <c r="AR11" s="63"/>
      <c r="AS11" s="63"/>
      <c r="AT11" s="65">
        <f>ROUND($Y11*Ceny!$B$7/100,2)</f>
        <v>0</v>
      </c>
      <c r="AU11" s="63"/>
      <c r="AV11" s="63"/>
      <c r="AW11" s="65">
        <f>ROUND(SUM(AP11:AV11),2)</f>
        <v>0</v>
      </c>
      <c r="AX11" s="93">
        <f>ROUND(AG11*Y11/100,2)</f>
        <v>772.2</v>
      </c>
      <c r="AY11" s="63"/>
      <c r="AZ11" s="63"/>
      <c r="BA11" s="63"/>
      <c r="BB11" s="65">
        <f>ROUND(Ceny!$B$38*AD11/100,2)</f>
        <v>6811.2</v>
      </c>
      <c r="BC11" s="63"/>
      <c r="BD11" s="63"/>
      <c r="BE11" s="63"/>
      <c r="BF11" s="63"/>
      <c r="BG11" s="63"/>
      <c r="BH11" s="65">
        <f>ROUND(Ceny!$C$38*12,2)</f>
        <v>1982.4</v>
      </c>
      <c r="BI11" s="63"/>
      <c r="BJ11" s="63"/>
      <c r="BK11" s="183">
        <f>ROUND(SUM(AY11:BD11),2)</f>
        <v>6811.2</v>
      </c>
      <c r="BL11" s="183">
        <f>ROUND(SUM(BE11:BJ11),2)</f>
        <v>1982.4</v>
      </c>
      <c r="BM11" s="67">
        <f>ROUND(SUM(AI11:AO11)+AW11+AX11+BK11+BL11,2)</f>
        <v>9565.7999999999993</v>
      </c>
    </row>
    <row r="12" spans="1:66" ht="21" customHeight="1" x14ac:dyDescent="0.2">
      <c r="A12" s="11">
        <v>17</v>
      </c>
      <c r="B12" s="53">
        <v>11</v>
      </c>
      <c r="C12" s="54"/>
      <c r="D12" s="55">
        <v>3</v>
      </c>
      <c r="E12" s="181" t="s">
        <v>31</v>
      </c>
      <c r="F12" s="56" t="s">
        <v>29</v>
      </c>
      <c r="G12" s="57" t="s">
        <v>119</v>
      </c>
      <c r="H12" s="58"/>
      <c r="I12" s="58"/>
      <c r="J12" s="59" t="s">
        <v>98</v>
      </c>
      <c r="K12" s="59" t="s">
        <v>99</v>
      </c>
      <c r="L12" s="59"/>
      <c r="M12" s="60" t="s">
        <v>82</v>
      </c>
      <c r="N12" s="60" t="s">
        <v>27</v>
      </c>
      <c r="O12" s="56" t="s">
        <v>29</v>
      </c>
      <c r="P12" s="42">
        <v>5732745883</v>
      </c>
      <c r="Q12" s="90">
        <v>708</v>
      </c>
      <c r="R12" s="90">
        <v>502</v>
      </c>
      <c r="S12" s="91">
        <v>790</v>
      </c>
      <c r="T12" s="62">
        <f>CEILING(V12,10)</f>
        <v>740</v>
      </c>
      <c r="U12" s="63">
        <f>(Q12+R12+S12)/3</f>
        <v>666.66666666666663</v>
      </c>
      <c r="V12" s="63">
        <f>U12*1.1</f>
        <v>733.33333333333337</v>
      </c>
      <c r="W12" s="184">
        <v>800</v>
      </c>
      <c r="X12" s="64">
        <f>ROUND(W12*11,2)</f>
        <v>8800</v>
      </c>
      <c r="Y12" s="248">
        <f>CEILING(X12,1000)</f>
        <v>9000</v>
      </c>
      <c r="Z12" s="63"/>
      <c r="AA12" s="63">
        <f>Y12</f>
        <v>9000</v>
      </c>
      <c r="AB12" s="63"/>
      <c r="AC12" s="63"/>
      <c r="AD12" s="63"/>
      <c r="AE12" s="63"/>
      <c r="AF12" s="63"/>
      <c r="AG12" s="256">
        <v>0.39</v>
      </c>
      <c r="AH12" s="5" t="s">
        <v>54</v>
      </c>
      <c r="AI12" s="63"/>
      <c r="AJ12" s="65">
        <f>ROUND(Ceny!$B$28*12,2)</f>
        <v>0</v>
      </c>
      <c r="AK12" s="63"/>
      <c r="AL12" s="63"/>
      <c r="AM12" s="63"/>
      <c r="AN12" s="63"/>
      <c r="AO12" s="63"/>
      <c r="AP12" s="63"/>
      <c r="AQ12" s="65">
        <f>ROUND($Y12*Ceny!$B$5/100,2)</f>
        <v>0</v>
      </c>
      <c r="AR12" s="63"/>
      <c r="AS12" s="63"/>
      <c r="AT12" s="63"/>
      <c r="AU12" s="63"/>
      <c r="AV12" s="63"/>
      <c r="AW12" s="65">
        <f>ROUND(SUM(AP12:AV12),2)</f>
        <v>0</v>
      </c>
      <c r="AX12" s="93">
        <f>ROUND(AG12*Y12/100,2)</f>
        <v>35.1</v>
      </c>
      <c r="AY12" s="63"/>
      <c r="AZ12" s="65">
        <f>ROUND(Ceny!$B$36*AA12/100,2)</f>
        <v>396.09</v>
      </c>
      <c r="BA12" s="63"/>
      <c r="BB12" s="63"/>
      <c r="BC12" s="63"/>
      <c r="BD12" s="63"/>
      <c r="BE12" s="63"/>
      <c r="BF12" s="65">
        <f>ROUND(Ceny!$C$36*12,2)</f>
        <v>107.28</v>
      </c>
      <c r="BG12" s="63"/>
      <c r="BH12" s="63"/>
      <c r="BI12" s="63"/>
      <c r="BJ12" s="63"/>
      <c r="BK12" s="183">
        <f>ROUND(SUM(AY12:BD12),2)</f>
        <v>396.09</v>
      </c>
      <c r="BL12" s="183">
        <f>ROUND(SUM(BE12:BJ12),2)</f>
        <v>107.28</v>
      </c>
      <c r="BM12" s="67">
        <f>ROUND(SUM(AI12:AO12)+AW12+AX12+BK12+BL12,2)</f>
        <v>538.47</v>
      </c>
    </row>
    <row r="13" spans="1:66" s="23" customFormat="1" ht="21" customHeight="1" x14ac:dyDescent="0.2">
      <c r="A13" s="11">
        <v>31</v>
      </c>
      <c r="B13" s="78"/>
      <c r="C13" s="79">
        <v>3</v>
      </c>
      <c r="D13" s="80"/>
      <c r="E13" s="81" t="s">
        <v>32</v>
      </c>
      <c r="F13" s="81"/>
      <c r="G13" s="82"/>
      <c r="H13" s="83" t="s">
        <v>150</v>
      </c>
      <c r="I13" s="83" t="s">
        <v>152</v>
      </c>
      <c r="J13" s="84"/>
      <c r="K13" s="84"/>
      <c r="L13" s="85"/>
      <c r="M13" s="86"/>
      <c r="N13" s="86"/>
      <c r="O13" s="86"/>
      <c r="P13" s="86"/>
      <c r="Q13" s="87">
        <f t="shared" ref="Q13:AF13" si="24">SUM(Q14:Q18)</f>
        <v>20528</v>
      </c>
      <c r="R13" s="87">
        <f t="shared" si="24"/>
        <v>17122</v>
      </c>
      <c r="S13" s="87">
        <f t="shared" si="24"/>
        <v>19318</v>
      </c>
      <c r="T13" s="87">
        <f t="shared" si="24"/>
        <v>20940</v>
      </c>
      <c r="U13" s="87">
        <f t="shared" si="24"/>
        <v>18989.333333333332</v>
      </c>
      <c r="V13" s="87">
        <f t="shared" si="24"/>
        <v>20888.26666666667</v>
      </c>
      <c r="W13" s="87">
        <f t="shared" si="24"/>
        <v>436600</v>
      </c>
      <c r="X13" s="88">
        <f t="shared" si="24"/>
        <v>4802600</v>
      </c>
      <c r="Y13" s="87">
        <f t="shared" si="24"/>
        <v>4804000</v>
      </c>
      <c r="Z13" s="87">
        <f t="shared" si="24"/>
        <v>0</v>
      </c>
      <c r="AA13" s="87">
        <f t="shared" si="24"/>
        <v>0</v>
      </c>
      <c r="AB13" s="87">
        <f t="shared" si="24"/>
        <v>0</v>
      </c>
      <c r="AC13" s="87">
        <f>SUM(AC14:AC18)</f>
        <v>193000</v>
      </c>
      <c r="AD13" s="87">
        <f t="shared" si="24"/>
        <v>211000</v>
      </c>
      <c r="AE13" s="87">
        <f t="shared" si="24"/>
        <v>0</v>
      </c>
      <c r="AF13" s="87">
        <f t="shared" si="24"/>
        <v>4400000</v>
      </c>
      <c r="AG13" s="89"/>
      <c r="AH13" s="89"/>
      <c r="AI13" s="89">
        <f t="shared" ref="AI13:BM13" si="25">SUM(AI14:AI18)</f>
        <v>0</v>
      </c>
      <c r="AJ13" s="89">
        <f t="shared" si="25"/>
        <v>0</v>
      </c>
      <c r="AK13" s="89">
        <f t="shared" si="25"/>
        <v>0</v>
      </c>
      <c r="AL13" s="89">
        <f t="shared" si="25"/>
        <v>0</v>
      </c>
      <c r="AM13" s="89">
        <f t="shared" si="25"/>
        <v>0</v>
      </c>
      <c r="AN13" s="89">
        <f t="shared" si="25"/>
        <v>0</v>
      </c>
      <c r="AO13" s="89">
        <f t="shared" si="25"/>
        <v>0</v>
      </c>
      <c r="AP13" s="89">
        <f t="shared" si="25"/>
        <v>0</v>
      </c>
      <c r="AQ13" s="89">
        <f t="shared" si="25"/>
        <v>0</v>
      </c>
      <c r="AR13" s="89">
        <f t="shared" si="25"/>
        <v>0</v>
      </c>
      <c r="AS13" s="89">
        <f t="shared" si="25"/>
        <v>0</v>
      </c>
      <c r="AT13" s="89">
        <f t="shared" si="25"/>
        <v>0</v>
      </c>
      <c r="AU13" s="89">
        <f t="shared" si="25"/>
        <v>0</v>
      </c>
      <c r="AV13" s="89">
        <f t="shared" si="25"/>
        <v>0</v>
      </c>
      <c r="AW13" s="89">
        <f t="shared" si="25"/>
        <v>0</v>
      </c>
      <c r="AX13" s="89">
        <f t="shared" si="25"/>
        <v>1575.6</v>
      </c>
      <c r="AY13" s="89">
        <f t="shared" si="25"/>
        <v>0</v>
      </c>
      <c r="AZ13" s="89">
        <f t="shared" si="25"/>
        <v>0</v>
      </c>
      <c r="BA13" s="89">
        <f t="shared" si="25"/>
        <v>7642.7999999999993</v>
      </c>
      <c r="BB13" s="89">
        <f t="shared" si="25"/>
        <v>7258.4</v>
      </c>
      <c r="BC13" s="89">
        <f t="shared" si="25"/>
        <v>0</v>
      </c>
      <c r="BD13" s="89">
        <f t="shared" si="25"/>
        <v>76912</v>
      </c>
      <c r="BE13" s="89">
        <f t="shared" si="25"/>
        <v>0</v>
      </c>
      <c r="BF13" s="89">
        <f t="shared" si="25"/>
        <v>0</v>
      </c>
      <c r="BG13" s="89">
        <f t="shared" si="25"/>
        <v>562.08000000000004</v>
      </c>
      <c r="BH13" s="89">
        <f t="shared" si="25"/>
        <v>3964.8</v>
      </c>
      <c r="BI13" s="89">
        <f t="shared" si="25"/>
        <v>0</v>
      </c>
      <c r="BJ13" s="89">
        <f t="shared" si="25"/>
        <v>35988.18</v>
      </c>
      <c r="BK13" s="89">
        <f t="shared" si="25"/>
        <v>91813.2</v>
      </c>
      <c r="BL13" s="89">
        <f t="shared" si="25"/>
        <v>40515.06</v>
      </c>
      <c r="BM13" s="89">
        <f t="shared" si="25"/>
        <v>133903.85999999999</v>
      </c>
    </row>
    <row r="14" spans="1:66" ht="21" customHeight="1" x14ac:dyDescent="0.2">
      <c r="A14" s="11">
        <v>33</v>
      </c>
      <c r="B14" s="53">
        <v>22</v>
      </c>
      <c r="C14" s="54"/>
      <c r="D14" s="55">
        <v>1</v>
      </c>
      <c r="E14" s="244" t="s">
        <v>34</v>
      </c>
      <c r="F14" s="56" t="s">
        <v>143</v>
      </c>
      <c r="G14" s="185" t="s">
        <v>113</v>
      </c>
      <c r="H14" s="98"/>
      <c r="I14" s="98"/>
      <c r="J14" s="59" t="s">
        <v>26</v>
      </c>
      <c r="K14" s="59" t="s">
        <v>93</v>
      </c>
      <c r="L14" s="59"/>
      <c r="M14" s="60" t="s">
        <v>82</v>
      </c>
      <c r="N14" s="56" t="s">
        <v>32</v>
      </c>
      <c r="O14" s="56" t="s">
        <v>33</v>
      </c>
      <c r="P14" s="42">
        <v>5732745883</v>
      </c>
      <c r="Q14" s="90">
        <v>8705</v>
      </c>
      <c r="R14" s="90">
        <v>7374</v>
      </c>
      <c r="S14" s="91">
        <v>7420</v>
      </c>
      <c r="T14" s="62">
        <f>CEILING(V14,10)</f>
        <v>8620</v>
      </c>
      <c r="U14" s="63">
        <f>(Q14+R14+S14)/3</f>
        <v>7833</v>
      </c>
      <c r="V14" s="63">
        <f>U14*1.1</f>
        <v>8616.3000000000011</v>
      </c>
      <c r="W14" s="249">
        <v>8100</v>
      </c>
      <c r="X14" s="64">
        <f>ROUND(W14*11,2)</f>
        <v>89100</v>
      </c>
      <c r="Y14" s="248">
        <f>CEILING(X14,1000)</f>
        <v>90000</v>
      </c>
      <c r="Z14" s="63"/>
      <c r="AA14" s="63"/>
      <c r="AB14" s="63"/>
      <c r="AC14" s="63"/>
      <c r="AD14" s="63">
        <f>Y14</f>
        <v>90000</v>
      </c>
      <c r="AE14" s="63"/>
      <c r="AF14" s="63"/>
      <c r="AG14" s="256">
        <v>0.39</v>
      </c>
      <c r="AH14" s="5" t="s">
        <v>54</v>
      </c>
      <c r="AI14" s="63"/>
      <c r="AJ14" s="63"/>
      <c r="AK14" s="63"/>
      <c r="AL14" s="65"/>
      <c r="AM14" s="65">
        <f>ROUND(Ceny!$B$30*12,2)</f>
        <v>0</v>
      </c>
      <c r="AN14" s="63"/>
      <c r="AO14" s="63"/>
      <c r="AP14" s="63"/>
      <c r="AQ14" s="63"/>
      <c r="AR14" s="63"/>
      <c r="AS14" s="65"/>
      <c r="AT14" s="65">
        <f>ROUND($Y14*Ceny!$B$7/100,2)</f>
        <v>0</v>
      </c>
      <c r="AU14" s="63"/>
      <c r="AV14" s="63"/>
      <c r="AW14" s="65">
        <f>ROUND(SUM(AP14:AV14),2)</f>
        <v>0</v>
      </c>
      <c r="AX14" s="93">
        <f t="shared" ref="AX14:AX15" si="26">ROUND(AG14*Y14/100,2)</f>
        <v>351</v>
      </c>
      <c r="AY14" s="63"/>
      <c r="AZ14" s="63"/>
      <c r="BA14" s="66"/>
      <c r="BB14" s="65">
        <f>ROUND(Ceny!$B$38*AD14/100,2)</f>
        <v>3096</v>
      </c>
      <c r="BC14" s="63"/>
      <c r="BD14" s="63"/>
      <c r="BE14" s="63"/>
      <c r="BF14" s="63"/>
      <c r="BG14" s="66"/>
      <c r="BH14" s="65">
        <f>ROUND(Ceny!$C$38*12,2)</f>
        <v>1982.4</v>
      </c>
      <c r="BI14" s="63"/>
      <c r="BJ14" s="63"/>
      <c r="BK14" s="183">
        <f>ROUND(SUM(AY14:BD14),2)</f>
        <v>3096</v>
      </c>
      <c r="BL14" s="183">
        <f>ROUND(SUM(BE14:BJ14),2)</f>
        <v>1982.4</v>
      </c>
      <c r="BM14" s="67">
        <f t="shared" ref="BM14:BM15" si="27">ROUND(SUM(AI14:AO14)+AW14+AX14+BK14+BL14,2)</f>
        <v>5429.4</v>
      </c>
    </row>
    <row r="15" spans="1:66" s="32" customFormat="1" ht="21" customHeight="1" x14ac:dyDescent="0.2">
      <c r="A15" s="11">
        <v>26</v>
      </c>
      <c r="B15" s="53">
        <v>16</v>
      </c>
      <c r="C15" s="54"/>
      <c r="D15" s="55">
        <v>2</v>
      </c>
      <c r="E15" s="245" t="s">
        <v>127</v>
      </c>
      <c r="F15" s="56" t="s">
        <v>144</v>
      </c>
      <c r="G15" s="186" t="s">
        <v>114</v>
      </c>
      <c r="H15" s="175"/>
      <c r="I15" s="95"/>
      <c r="J15" s="96" t="s">
        <v>20</v>
      </c>
      <c r="K15" s="96" t="s">
        <v>92</v>
      </c>
      <c r="L15" s="96"/>
      <c r="M15" s="60" t="s">
        <v>82</v>
      </c>
      <c r="N15" s="60" t="s">
        <v>32</v>
      </c>
      <c r="O15" s="56" t="s">
        <v>33</v>
      </c>
      <c r="P15" s="42">
        <v>5732745883</v>
      </c>
      <c r="Q15" s="90">
        <v>1459</v>
      </c>
      <c r="R15" s="90">
        <v>1419</v>
      </c>
      <c r="S15" s="97">
        <v>1534</v>
      </c>
      <c r="T15" s="62">
        <f>CEILING(V15,10)</f>
        <v>1620</v>
      </c>
      <c r="U15" s="63">
        <f t="shared" ref="U15" si="28">(Q15+R15+S15)/3</f>
        <v>1470.6666666666667</v>
      </c>
      <c r="V15" s="63">
        <f t="shared" ref="V15" si="29">U15*1.1</f>
        <v>1617.7333333333336</v>
      </c>
      <c r="W15" s="249">
        <v>14000</v>
      </c>
      <c r="X15" s="64">
        <f t="shared" ref="X15" si="30">ROUND(W15*11,2)</f>
        <v>154000</v>
      </c>
      <c r="Y15" s="248">
        <f>CEILING(X15,1000)</f>
        <v>154000</v>
      </c>
      <c r="Z15" s="63"/>
      <c r="AA15" s="63"/>
      <c r="AB15" s="63"/>
      <c r="AC15" s="63">
        <f>$Y15</f>
        <v>154000</v>
      </c>
      <c r="AD15" s="63"/>
      <c r="AE15" s="63"/>
      <c r="AF15" s="63"/>
      <c r="AG15" s="256">
        <v>0.39</v>
      </c>
      <c r="AH15" s="5" t="s">
        <v>54</v>
      </c>
      <c r="AI15" s="63"/>
      <c r="AJ15" s="63"/>
      <c r="AK15" s="63"/>
      <c r="AL15" s="65">
        <f>ROUND(Ceny!$B$29*12,2)</f>
        <v>0</v>
      </c>
      <c r="AM15" s="63"/>
      <c r="AN15" s="63"/>
      <c r="AO15" s="63"/>
      <c r="AP15" s="63"/>
      <c r="AQ15" s="63"/>
      <c r="AR15" s="63"/>
      <c r="AS15" s="65">
        <f>ROUND($Y15*Ceny!$B$6/100,2)</f>
        <v>0</v>
      </c>
      <c r="AT15" s="63"/>
      <c r="AU15" s="63"/>
      <c r="AV15" s="63"/>
      <c r="AW15" s="65">
        <f t="shared" ref="AW15" si="31">ROUND(SUM(AP15:AV15),2)</f>
        <v>0</v>
      </c>
      <c r="AX15" s="93">
        <f t="shared" si="26"/>
        <v>600.6</v>
      </c>
      <c r="AY15" s="63"/>
      <c r="AZ15" s="63"/>
      <c r="BA15" s="66">
        <f>ROUND(Ceny!$B$37*AC15/100,2)</f>
        <v>6098.4</v>
      </c>
      <c r="BB15" s="63"/>
      <c r="BC15" s="63"/>
      <c r="BD15" s="63"/>
      <c r="BE15" s="63"/>
      <c r="BF15" s="63"/>
      <c r="BG15" s="66">
        <f>ROUND(Ceny!$C$37*12,2)</f>
        <v>281.04000000000002</v>
      </c>
      <c r="BH15" s="63"/>
      <c r="BI15" s="63"/>
      <c r="BJ15" s="63"/>
      <c r="BK15" s="183">
        <f t="shared" ref="BK15" si="32">ROUND(SUM(AY15:BD15),2)</f>
        <v>6098.4</v>
      </c>
      <c r="BL15" s="183">
        <f t="shared" ref="BL15" si="33">ROUND(SUM(BE15:BJ15),2)</f>
        <v>281.04000000000002</v>
      </c>
      <c r="BM15" s="67">
        <f t="shared" si="27"/>
        <v>6980.04</v>
      </c>
      <c r="BN15" s="23"/>
    </row>
    <row r="16" spans="1:66" ht="21" customHeight="1" x14ac:dyDescent="0.2">
      <c r="A16" s="11">
        <v>34</v>
      </c>
      <c r="B16" s="53">
        <v>23</v>
      </c>
      <c r="C16" s="54"/>
      <c r="D16" s="55">
        <v>3</v>
      </c>
      <c r="E16" s="244" t="s">
        <v>112</v>
      </c>
      <c r="F16" s="56" t="s">
        <v>57</v>
      </c>
      <c r="G16" s="185" t="s">
        <v>115</v>
      </c>
      <c r="H16" s="98"/>
      <c r="I16" s="98"/>
      <c r="J16" s="59" t="s">
        <v>26</v>
      </c>
      <c r="K16" s="59" t="s">
        <v>93</v>
      </c>
      <c r="L16" s="59"/>
      <c r="M16" s="60" t="s">
        <v>82</v>
      </c>
      <c r="N16" s="56" t="s">
        <v>32</v>
      </c>
      <c r="O16" s="56" t="s">
        <v>33</v>
      </c>
      <c r="P16" s="42">
        <v>5732745883</v>
      </c>
      <c r="Q16" s="90">
        <v>10364</v>
      </c>
      <c r="R16" s="90">
        <v>8329</v>
      </c>
      <c r="S16" s="90">
        <v>10364</v>
      </c>
      <c r="T16" s="62">
        <f>CEILING(V16,50)</f>
        <v>10700</v>
      </c>
      <c r="U16" s="63">
        <f>(Q16+R16+S16)/3</f>
        <v>9685.6666666666661</v>
      </c>
      <c r="V16" s="63">
        <f>U16*1.1</f>
        <v>10654.233333333334</v>
      </c>
      <c r="W16" s="249">
        <v>11000</v>
      </c>
      <c r="X16" s="64">
        <f>ROUND(W16*11,2)</f>
        <v>121000</v>
      </c>
      <c r="Y16" s="248">
        <f>CEILING(X16,1000)</f>
        <v>121000</v>
      </c>
      <c r="Z16" s="63"/>
      <c r="AA16" s="63"/>
      <c r="AB16" s="63"/>
      <c r="AC16" s="63"/>
      <c r="AD16" s="63">
        <f>Y16</f>
        <v>121000</v>
      </c>
      <c r="AE16" s="63"/>
      <c r="AF16" s="63"/>
      <c r="AG16" s="256">
        <v>0.39</v>
      </c>
      <c r="AH16" s="5" t="s">
        <v>54</v>
      </c>
      <c r="AI16" s="63"/>
      <c r="AJ16" s="63"/>
      <c r="AK16" s="63"/>
      <c r="AL16" s="65"/>
      <c r="AM16" s="65">
        <f>ROUND(Ceny!$B$30*12,2)</f>
        <v>0</v>
      </c>
      <c r="AN16" s="63"/>
      <c r="AO16" s="63"/>
      <c r="AP16" s="63"/>
      <c r="AQ16" s="63"/>
      <c r="AR16" s="63"/>
      <c r="AS16" s="65"/>
      <c r="AT16" s="65">
        <f>ROUND($Y16*Ceny!$B$7/100,2)</f>
        <v>0</v>
      </c>
      <c r="AU16" s="63"/>
      <c r="AV16" s="63"/>
      <c r="AW16" s="65">
        <f>ROUND(SUM(AP16:AV16),2)</f>
        <v>0</v>
      </c>
      <c r="AX16" s="93">
        <f t="shared" ref="AX16:AX17" si="34">ROUND(AG16*Y16/100,2)</f>
        <v>471.9</v>
      </c>
      <c r="AY16" s="63"/>
      <c r="AZ16" s="63"/>
      <c r="BA16" s="66"/>
      <c r="BB16" s="65">
        <f>ROUND(Ceny!$B$38*AD16/100,2)</f>
        <v>4162.3999999999996</v>
      </c>
      <c r="BC16" s="63"/>
      <c r="BD16" s="63"/>
      <c r="BE16" s="63"/>
      <c r="BF16" s="63"/>
      <c r="BG16" s="66"/>
      <c r="BH16" s="65">
        <f>ROUND(Ceny!$C$38*12,2)</f>
        <v>1982.4</v>
      </c>
      <c r="BI16" s="63"/>
      <c r="BJ16" s="63"/>
      <c r="BK16" s="183">
        <f>ROUND(SUM(AY16:BD16),2)</f>
        <v>4162.3999999999996</v>
      </c>
      <c r="BL16" s="183">
        <f>ROUND(SUM(BE16:BJ16),2)</f>
        <v>1982.4</v>
      </c>
      <c r="BM16" s="67">
        <f t="shared" ref="BM16:BM17" si="35">ROUND(SUM(AI16:AO16)+AW16+AX16+BK16+BL16,2)</f>
        <v>6616.7</v>
      </c>
    </row>
    <row r="17" spans="1:72" s="215" customFormat="1" ht="21" customHeight="1" x14ac:dyDescent="0.2">
      <c r="A17" s="198">
        <v>26</v>
      </c>
      <c r="B17" s="199">
        <v>16</v>
      </c>
      <c r="C17" s="200"/>
      <c r="D17" s="201">
        <v>4</v>
      </c>
      <c r="E17" s="181" t="s">
        <v>123</v>
      </c>
      <c r="F17" s="180" t="s">
        <v>145</v>
      </c>
      <c r="G17" s="202" t="s">
        <v>126</v>
      </c>
      <c r="H17" s="203"/>
      <c r="I17" s="204"/>
      <c r="J17" s="96" t="s">
        <v>20</v>
      </c>
      <c r="K17" s="96" t="s">
        <v>92</v>
      </c>
      <c r="L17" s="205"/>
      <c r="M17" s="181" t="s">
        <v>82</v>
      </c>
      <c r="N17" s="181" t="s">
        <v>32</v>
      </c>
      <c r="O17" s="180" t="s">
        <v>33</v>
      </c>
      <c r="P17" s="179">
        <v>5732745883</v>
      </c>
      <c r="Q17" s="206"/>
      <c r="R17" s="206"/>
      <c r="S17" s="207"/>
      <c r="T17" s="208"/>
      <c r="U17" s="184"/>
      <c r="V17" s="184"/>
      <c r="W17" s="249">
        <v>3500</v>
      </c>
      <c r="X17" s="209">
        <f t="shared" ref="X17" si="36">ROUND(W17*11,2)</f>
        <v>38500</v>
      </c>
      <c r="Y17" s="248">
        <f>CEILING(X17,1000)</f>
        <v>39000</v>
      </c>
      <c r="Z17" s="184"/>
      <c r="AA17" s="184"/>
      <c r="AB17" s="184"/>
      <c r="AC17" s="184">
        <f>$Y17</f>
        <v>39000</v>
      </c>
      <c r="AD17" s="184"/>
      <c r="AE17" s="184"/>
      <c r="AF17" s="184"/>
      <c r="AG17" s="256">
        <v>0.39</v>
      </c>
      <c r="AH17" s="210" t="s">
        <v>54</v>
      </c>
      <c r="AI17" s="184"/>
      <c r="AJ17" s="184"/>
      <c r="AK17" s="184"/>
      <c r="AL17" s="183">
        <f>ROUND(Ceny!$B$29*12,2)</f>
        <v>0</v>
      </c>
      <c r="AM17" s="184"/>
      <c r="AN17" s="184"/>
      <c r="AO17" s="184"/>
      <c r="AP17" s="184"/>
      <c r="AQ17" s="184"/>
      <c r="AR17" s="184"/>
      <c r="AS17" s="183">
        <f>ROUND($Y17*Ceny!$B$6/100,2)</f>
        <v>0</v>
      </c>
      <c r="AT17" s="184"/>
      <c r="AU17" s="184"/>
      <c r="AV17" s="184"/>
      <c r="AW17" s="183">
        <f t="shared" ref="AW17" si="37">ROUND(SUM(AP17:AV17),2)</f>
        <v>0</v>
      </c>
      <c r="AX17" s="211">
        <f t="shared" si="34"/>
        <v>152.1</v>
      </c>
      <c r="AY17" s="184"/>
      <c r="AZ17" s="184"/>
      <c r="BA17" s="212">
        <f>ROUND(Ceny!$B$37*AC17/100,2)</f>
        <v>1544.4</v>
      </c>
      <c r="BB17" s="184"/>
      <c r="BC17" s="184"/>
      <c r="BD17" s="184"/>
      <c r="BE17" s="184"/>
      <c r="BF17" s="184"/>
      <c r="BG17" s="212">
        <f>ROUND(Ceny!$C$37*12,2)</f>
        <v>281.04000000000002</v>
      </c>
      <c r="BH17" s="184"/>
      <c r="BI17" s="184"/>
      <c r="BJ17" s="184"/>
      <c r="BK17" s="183">
        <f t="shared" ref="BK17" si="38">ROUND(SUM(AY17:BD17),2)</f>
        <v>1544.4</v>
      </c>
      <c r="BL17" s="183">
        <f t="shared" ref="BL17" si="39">ROUND(SUM(BE17:BJ17),2)</f>
        <v>281.04000000000002</v>
      </c>
      <c r="BM17" s="213">
        <f t="shared" si="35"/>
        <v>1977.54</v>
      </c>
      <c r="BN17" s="214"/>
    </row>
    <row r="18" spans="1:72" s="221" customFormat="1" ht="21" customHeight="1" x14ac:dyDescent="0.2">
      <c r="A18" s="198">
        <v>15</v>
      </c>
      <c r="B18" s="199">
        <v>9</v>
      </c>
      <c r="C18" s="200"/>
      <c r="D18" s="201">
        <v>5</v>
      </c>
      <c r="E18" s="181" t="s">
        <v>124</v>
      </c>
      <c r="F18" s="180" t="s">
        <v>125</v>
      </c>
      <c r="G18" s="254" t="s">
        <v>159</v>
      </c>
      <c r="H18" s="216"/>
      <c r="I18" s="216"/>
      <c r="J18" s="59" t="s">
        <v>96</v>
      </c>
      <c r="K18" s="59" t="s">
        <v>97</v>
      </c>
      <c r="L18" s="218">
        <v>712</v>
      </c>
      <c r="M18" s="181" t="s">
        <v>82</v>
      </c>
      <c r="N18" s="181" t="s">
        <v>32</v>
      </c>
      <c r="O18" s="180" t="s">
        <v>33</v>
      </c>
      <c r="P18" s="179">
        <v>5732745883</v>
      </c>
      <c r="Q18" s="206"/>
      <c r="R18" s="206"/>
      <c r="S18" s="219"/>
      <c r="T18" s="208"/>
      <c r="U18" s="184"/>
      <c r="V18" s="184"/>
      <c r="W18" s="249">
        <v>400000</v>
      </c>
      <c r="X18" s="209">
        <f>ROUND(W18*11,2)</f>
        <v>4400000</v>
      </c>
      <c r="Y18" s="248">
        <f>CEILING(X18,1000)</f>
        <v>4400000</v>
      </c>
      <c r="Z18" s="184"/>
      <c r="AA18" s="184"/>
      <c r="AB18" s="184"/>
      <c r="AC18" s="184"/>
      <c r="AD18" s="184"/>
      <c r="AE18" s="184"/>
      <c r="AF18" s="184">
        <f>Y18</f>
        <v>4400000</v>
      </c>
      <c r="AG18" s="220" t="s">
        <v>24</v>
      </c>
      <c r="AH18" s="210">
        <v>8760</v>
      </c>
      <c r="AI18" s="184"/>
      <c r="AJ18" s="184"/>
      <c r="AK18" s="184"/>
      <c r="AL18" s="184"/>
      <c r="AM18" s="184"/>
      <c r="AN18" s="184"/>
      <c r="AO18" s="183">
        <f>ROUND(Ceny!$B$32*12,2)</f>
        <v>0</v>
      </c>
      <c r="AP18" s="184"/>
      <c r="AQ18" s="184"/>
      <c r="AR18" s="184"/>
      <c r="AS18" s="184"/>
      <c r="AT18" s="184"/>
      <c r="AU18" s="184"/>
      <c r="AV18" s="183">
        <f>ROUND($Y18*Ceny!$B$9/100,2)</f>
        <v>0</v>
      </c>
      <c r="AW18" s="183">
        <f>ROUND(SUM(AP18:AV18),2)</f>
        <v>0</v>
      </c>
      <c r="AX18" s="211" t="s">
        <v>55</v>
      </c>
      <c r="AY18" s="184"/>
      <c r="AZ18" s="184"/>
      <c r="BA18" s="184"/>
      <c r="BB18" s="184"/>
      <c r="BC18" s="184"/>
      <c r="BD18" s="183">
        <f>ROUND(((Ceny!$B$40*AF18/100)),2)</f>
        <v>76912</v>
      </c>
      <c r="BE18" s="184"/>
      <c r="BF18" s="184"/>
      <c r="BG18" s="184"/>
      <c r="BH18" s="184"/>
      <c r="BI18" s="184"/>
      <c r="BJ18" s="183">
        <f>ROUND((Ceny!$D$40*L18*AH18/100),2)</f>
        <v>35988.18</v>
      </c>
      <c r="BK18" s="183">
        <f>ROUND(SUM(AY18:BD18),2)</f>
        <v>76912</v>
      </c>
      <c r="BL18" s="183">
        <f>ROUND(SUM(BE18:BJ18),2)</f>
        <v>35988.18</v>
      </c>
      <c r="BM18" s="213">
        <f>ROUND(SUM(AI18:AO18)+AW18+BK18+BL18,2)</f>
        <v>112900.18</v>
      </c>
    </row>
    <row r="19" spans="1:72" s="68" customFormat="1" ht="21" customHeight="1" x14ac:dyDescent="0.2">
      <c r="A19" s="11">
        <v>96</v>
      </c>
      <c r="B19" s="78"/>
      <c r="C19" s="79">
        <v>4</v>
      </c>
      <c r="D19" s="80"/>
      <c r="E19" s="81" t="s">
        <v>36</v>
      </c>
      <c r="F19" s="81"/>
      <c r="G19" s="82"/>
      <c r="H19" s="83" t="s">
        <v>149</v>
      </c>
      <c r="I19" s="83" t="s">
        <v>152</v>
      </c>
      <c r="J19" s="84"/>
      <c r="K19" s="84"/>
      <c r="L19" s="85"/>
      <c r="M19" s="86"/>
      <c r="N19" s="86"/>
      <c r="O19" s="86"/>
      <c r="P19" s="86"/>
      <c r="Q19" s="87">
        <f>SUM(Q20)</f>
        <v>2012</v>
      </c>
      <c r="R19" s="87">
        <f t="shared" ref="R19:V19" si="40">SUM(R20)</f>
        <v>1894</v>
      </c>
      <c r="S19" s="87">
        <f t="shared" si="40"/>
        <v>2120</v>
      </c>
      <c r="T19" s="87">
        <f t="shared" si="40"/>
        <v>2210</v>
      </c>
      <c r="U19" s="87">
        <f t="shared" si="40"/>
        <v>2008.6666666666667</v>
      </c>
      <c r="V19" s="87">
        <f t="shared" si="40"/>
        <v>2209.5333333333338</v>
      </c>
      <c r="W19" s="87">
        <f>SUM(W20)</f>
        <v>4500</v>
      </c>
      <c r="X19" s="87">
        <f t="shared" ref="X19:AF19" si="41">SUM(X20)</f>
        <v>49500</v>
      </c>
      <c r="Y19" s="87">
        <f t="shared" si="41"/>
        <v>49500</v>
      </c>
      <c r="Z19" s="87">
        <f t="shared" si="41"/>
        <v>0</v>
      </c>
      <c r="AA19" s="87">
        <f t="shared" si="41"/>
        <v>0</v>
      </c>
      <c r="AB19" s="87">
        <f t="shared" si="41"/>
        <v>0</v>
      </c>
      <c r="AC19" s="87">
        <f t="shared" si="41"/>
        <v>49500</v>
      </c>
      <c r="AD19" s="87">
        <f t="shared" si="41"/>
        <v>0</v>
      </c>
      <c r="AE19" s="87">
        <f t="shared" si="41"/>
        <v>0</v>
      </c>
      <c r="AF19" s="87">
        <f t="shared" si="41"/>
        <v>0</v>
      </c>
      <c r="AG19" s="89"/>
      <c r="AH19" s="89"/>
      <c r="AI19" s="89">
        <f>SUM(AI20)</f>
        <v>0</v>
      </c>
      <c r="AJ19" s="89">
        <f t="shared" ref="AJ19:AW19" si="42">SUM(AJ20)</f>
        <v>0</v>
      </c>
      <c r="AK19" s="89">
        <f t="shared" si="42"/>
        <v>0</v>
      </c>
      <c r="AL19" s="89">
        <f t="shared" si="42"/>
        <v>0</v>
      </c>
      <c r="AM19" s="89">
        <f t="shared" si="42"/>
        <v>0</v>
      </c>
      <c r="AN19" s="89">
        <f t="shared" si="42"/>
        <v>0</v>
      </c>
      <c r="AO19" s="89">
        <f t="shared" si="42"/>
        <v>0</v>
      </c>
      <c r="AP19" s="89">
        <f t="shared" si="42"/>
        <v>0</v>
      </c>
      <c r="AQ19" s="89">
        <f t="shared" si="42"/>
        <v>0</v>
      </c>
      <c r="AR19" s="89">
        <f t="shared" si="42"/>
        <v>0</v>
      </c>
      <c r="AS19" s="89">
        <f t="shared" si="42"/>
        <v>0</v>
      </c>
      <c r="AT19" s="89">
        <f t="shared" si="42"/>
        <v>0</v>
      </c>
      <c r="AU19" s="89">
        <f t="shared" si="42"/>
        <v>0</v>
      </c>
      <c r="AV19" s="89">
        <f t="shared" si="42"/>
        <v>0</v>
      </c>
      <c r="AW19" s="89">
        <f t="shared" si="42"/>
        <v>0</v>
      </c>
      <c r="AX19" s="89"/>
      <c r="AY19" s="89">
        <f>SUM(AY20)</f>
        <v>0</v>
      </c>
      <c r="AZ19" s="89">
        <f t="shared" ref="AZ19:BM19" si="43">SUM(AZ20)</f>
        <v>0</v>
      </c>
      <c r="BA19" s="89">
        <f t="shared" si="43"/>
        <v>1960.2</v>
      </c>
      <c r="BB19" s="89">
        <f t="shared" si="43"/>
        <v>0</v>
      </c>
      <c r="BC19" s="89">
        <f t="shared" si="43"/>
        <v>0</v>
      </c>
      <c r="BD19" s="89">
        <f t="shared" si="43"/>
        <v>0</v>
      </c>
      <c r="BE19" s="89">
        <f t="shared" si="43"/>
        <v>0</v>
      </c>
      <c r="BF19" s="89">
        <f t="shared" si="43"/>
        <v>0</v>
      </c>
      <c r="BG19" s="89">
        <f t="shared" si="43"/>
        <v>281.04000000000002</v>
      </c>
      <c r="BH19" s="89">
        <f t="shared" si="43"/>
        <v>0</v>
      </c>
      <c r="BI19" s="89">
        <f t="shared" si="43"/>
        <v>0</v>
      </c>
      <c r="BJ19" s="89">
        <f t="shared" si="43"/>
        <v>0</v>
      </c>
      <c r="BK19" s="89">
        <f t="shared" si="43"/>
        <v>1960.2</v>
      </c>
      <c r="BL19" s="89">
        <f t="shared" si="43"/>
        <v>281.04000000000002</v>
      </c>
      <c r="BM19" s="89">
        <f t="shared" si="43"/>
        <v>2241.2399999999998</v>
      </c>
    </row>
    <row r="20" spans="1:72" s="221" customFormat="1" ht="21" customHeight="1" x14ac:dyDescent="0.2">
      <c r="A20" s="198">
        <v>105</v>
      </c>
      <c r="B20" s="199">
        <v>59</v>
      </c>
      <c r="C20" s="200"/>
      <c r="D20" s="201">
        <v>1</v>
      </c>
      <c r="E20" s="181" t="s">
        <v>36</v>
      </c>
      <c r="F20" s="180" t="s">
        <v>146</v>
      </c>
      <c r="G20" s="182" t="s">
        <v>116</v>
      </c>
      <c r="H20" s="216"/>
      <c r="I20" s="216"/>
      <c r="J20" s="217" t="s">
        <v>20</v>
      </c>
      <c r="K20" s="217" t="s">
        <v>92</v>
      </c>
      <c r="L20" s="217"/>
      <c r="M20" s="181" t="s">
        <v>82</v>
      </c>
      <c r="N20" s="181" t="s">
        <v>36</v>
      </c>
      <c r="O20" s="180" t="s">
        <v>146</v>
      </c>
      <c r="P20" s="179" t="s">
        <v>23</v>
      </c>
      <c r="Q20" s="206">
        <v>2012</v>
      </c>
      <c r="R20" s="206">
        <v>1894</v>
      </c>
      <c r="S20" s="219">
        <v>2120</v>
      </c>
      <c r="T20" s="208">
        <f>CEILING(V20,10)</f>
        <v>2210</v>
      </c>
      <c r="U20" s="184">
        <f>(Q20+R20+S20)/3</f>
        <v>2008.6666666666667</v>
      </c>
      <c r="V20" s="184">
        <f>U20*1.1</f>
        <v>2209.5333333333338</v>
      </c>
      <c r="W20" s="184">
        <v>4500</v>
      </c>
      <c r="X20" s="209">
        <f>ROUND(W20*11,2)</f>
        <v>49500</v>
      </c>
      <c r="Y20" s="248">
        <f>FLOOR(X20,100)</f>
        <v>49500</v>
      </c>
      <c r="Z20" s="184"/>
      <c r="AA20" s="184"/>
      <c r="AB20" s="184"/>
      <c r="AC20" s="184">
        <f>$Y20</f>
        <v>49500</v>
      </c>
      <c r="AD20" s="184"/>
      <c r="AE20" s="184"/>
      <c r="AF20" s="184"/>
      <c r="AG20" s="179" t="s">
        <v>24</v>
      </c>
      <c r="AH20" s="210" t="s">
        <v>54</v>
      </c>
      <c r="AI20" s="184"/>
      <c r="AJ20" s="184"/>
      <c r="AK20" s="184"/>
      <c r="AL20" s="183">
        <f>ROUND(Ceny!$B$29*12,2)</f>
        <v>0</v>
      </c>
      <c r="AM20" s="184"/>
      <c r="AN20" s="184"/>
      <c r="AO20" s="184"/>
      <c r="AP20" s="184"/>
      <c r="AQ20" s="184"/>
      <c r="AR20" s="184"/>
      <c r="AS20" s="183">
        <f>ROUND($Y20*Ceny!$B$6/100,2)</f>
        <v>0</v>
      </c>
      <c r="AT20" s="184"/>
      <c r="AU20" s="184"/>
      <c r="AV20" s="184"/>
      <c r="AW20" s="183">
        <f>ROUND(SUM(AP20:AV20),2)</f>
        <v>0</v>
      </c>
      <c r="AX20" s="222" t="s">
        <v>55</v>
      </c>
      <c r="AY20" s="184"/>
      <c r="AZ20" s="184"/>
      <c r="BA20" s="212">
        <f>ROUND(Ceny!$B$37*AC20/100,2)</f>
        <v>1960.2</v>
      </c>
      <c r="BB20" s="184"/>
      <c r="BC20" s="184"/>
      <c r="BD20" s="184"/>
      <c r="BE20" s="184"/>
      <c r="BF20" s="184"/>
      <c r="BG20" s="212">
        <f>ROUND(Ceny!$C$37*12,2)</f>
        <v>281.04000000000002</v>
      </c>
      <c r="BH20" s="184"/>
      <c r="BI20" s="184"/>
      <c r="BJ20" s="184"/>
      <c r="BK20" s="183">
        <f>ROUND(SUM(AY20:BD20),2)</f>
        <v>1960.2</v>
      </c>
      <c r="BL20" s="183">
        <f>ROUND(SUM(BE20:BJ20),2)</f>
        <v>281.04000000000002</v>
      </c>
      <c r="BM20" s="213">
        <f>ROUND(SUM(AI20:AO20)+AW20+BK20+BL20,2)</f>
        <v>2241.2399999999998</v>
      </c>
    </row>
    <row r="21" spans="1:72" s="23" customFormat="1" ht="21" customHeight="1" x14ac:dyDescent="0.2">
      <c r="A21" s="11">
        <v>102</v>
      </c>
      <c r="B21" s="78"/>
      <c r="C21" s="79">
        <v>5</v>
      </c>
      <c r="D21" s="80"/>
      <c r="E21" s="81" t="s">
        <v>37</v>
      </c>
      <c r="F21" s="81"/>
      <c r="G21" s="82"/>
      <c r="H21" s="83" t="s">
        <v>148</v>
      </c>
      <c r="I21" s="83" t="s">
        <v>152</v>
      </c>
      <c r="J21" s="84"/>
      <c r="K21" s="84"/>
      <c r="L21" s="85"/>
      <c r="M21" s="86"/>
      <c r="N21" s="86"/>
      <c r="O21" s="86"/>
      <c r="P21" s="86"/>
      <c r="Q21" s="87">
        <f t="shared" ref="Q21:AF21" si="44">SUM(Q22:Q22)</f>
        <v>6965</v>
      </c>
      <c r="R21" s="87">
        <f t="shared" si="44"/>
        <v>5650</v>
      </c>
      <c r="S21" s="87">
        <f t="shared" si="44"/>
        <v>4882</v>
      </c>
      <c r="T21" s="87">
        <f t="shared" si="44"/>
        <v>6420</v>
      </c>
      <c r="U21" s="87">
        <f t="shared" si="44"/>
        <v>5832.333333333333</v>
      </c>
      <c r="V21" s="87">
        <f t="shared" si="44"/>
        <v>6415.5666666666666</v>
      </c>
      <c r="W21" s="87">
        <f t="shared" si="44"/>
        <v>7000</v>
      </c>
      <c r="X21" s="88">
        <f t="shared" si="44"/>
        <v>77000</v>
      </c>
      <c r="Y21" s="87">
        <f t="shared" si="44"/>
        <v>77000</v>
      </c>
      <c r="Z21" s="87">
        <f t="shared" si="44"/>
        <v>0</v>
      </c>
      <c r="AA21" s="87">
        <f t="shared" si="44"/>
        <v>0</v>
      </c>
      <c r="AB21" s="87">
        <f t="shared" si="44"/>
        <v>0</v>
      </c>
      <c r="AC21" s="87">
        <f t="shared" si="44"/>
        <v>77000</v>
      </c>
      <c r="AD21" s="87">
        <f t="shared" si="44"/>
        <v>0</v>
      </c>
      <c r="AE21" s="87">
        <f t="shared" si="44"/>
        <v>0</v>
      </c>
      <c r="AF21" s="87">
        <f t="shared" si="44"/>
        <v>0</v>
      </c>
      <c r="AG21" s="89"/>
      <c r="AH21" s="89"/>
      <c r="AI21" s="89">
        <f t="shared" ref="AI21:BM21" si="45">SUM(AI22:AI22)</f>
        <v>0</v>
      </c>
      <c r="AJ21" s="89">
        <f t="shared" si="45"/>
        <v>0</v>
      </c>
      <c r="AK21" s="89">
        <f t="shared" si="45"/>
        <v>0</v>
      </c>
      <c r="AL21" s="89">
        <f t="shared" si="45"/>
        <v>0</v>
      </c>
      <c r="AM21" s="89">
        <f t="shared" si="45"/>
        <v>0</v>
      </c>
      <c r="AN21" s="89">
        <f t="shared" si="45"/>
        <v>0</v>
      </c>
      <c r="AO21" s="89">
        <f t="shared" si="45"/>
        <v>0</v>
      </c>
      <c r="AP21" s="89">
        <f t="shared" si="45"/>
        <v>0</v>
      </c>
      <c r="AQ21" s="89">
        <f t="shared" si="45"/>
        <v>0</v>
      </c>
      <c r="AR21" s="89">
        <f t="shared" si="45"/>
        <v>0</v>
      </c>
      <c r="AS21" s="89">
        <f t="shared" si="45"/>
        <v>0</v>
      </c>
      <c r="AT21" s="89">
        <f t="shared" si="45"/>
        <v>0</v>
      </c>
      <c r="AU21" s="89">
        <f t="shared" si="45"/>
        <v>0</v>
      </c>
      <c r="AV21" s="89">
        <f t="shared" si="45"/>
        <v>0</v>
      </c>
      <c r="AW21" s="89">
        <f t="shared" si="45"/>
        <v>0</v>
      </c>
      <c r="AX21" s="89">
        <f t="shared" si="45"/>
        <v>300.3</v>
      </c>
      <c r="AY21" s="89">
        <f t="shared" si="45"/>
        <v>0</v>
      </c>
      <c r="AZ21" s="89">
        <f t="shared" si="45"/>
        <v>0</v>
      </c>
      <c r="BA21" s="89">
        <f t="shared" si="45"/>
        <v>3049.2</v>
      </c>
      <c r="BB21" s="89">
        <f t="shared" si="45"/>
        <v>0</v>
      </c>
      <c r="BC21" s="89">
        <f t="shared" si="45"/>
        <v>0</v>
      </c>
      <c r="BD21" s="89">
        <f t="shared" si="45"/>
        <v>0</v>
      </c>
      <c r="BE21" s="89">
        <f t="shared" si="45"/>
        <v>0</v>
      </c>
      <c r="BF21" s="89">
        <f t="shared" si="45"/>
        <v>0</v>
      </c>
      <c r="BG21" s="89">
        <f t="shared" si="45"/>
        <v>281.04000000000002</v>
      </c>
      <c r="BH21" s="89">
        <f t="shared" si="45"/>
        <v>0</v>
      </c>
      <c r="BI21" s="89">
        <f t="shared" si="45"/>
        <v>0</v>
      </c>
      <c r="BJ21" s="89">
        <f t="shared" si="45"/>
        <v>0</v>
      </c>
      <c r="BK21" s="89">
        <f t="shared" si="45"/>
        <v>3049.2</v>
      </c>
      <c r="BL21" s="89">
        <f t="shared" si="45"/>
        <v>281.04000000000002</v>
      </c>
      <c r="BM21" s="89">
        <f t="shared" si="45"/>
        <v>3630.54</v>
      </c>
    </row>
    <row r="22" spans="1:72" ht="21" customHeight="1" x14ac:dyDescent="0.2">
      <c r="A22" s="11">
        <v>103</v>
      </c>
      <c r="B22" s="53">
        <v>58</v>
      </c>
      <c r="C22" s="54"/>
      <c r="D22" s="55">
        <v>1</v>
      </c>
      <c r="E22" s="181" t="s">
        <v>38</v>
      </c>
      <c r="F22" s="56" t="s">
        <v>39</v>
      </c>
      <c r="G22" s="57" t="s">
        <v>121</v>
      </c>
      <c r="H22" s="57"/>
      <c r="I22" s="57"/>
      <c r="J22" s="59" t="s">
        <v>20</v>
      </c>
      <c r="K22" s="59" t="s">
        <v>92</v>
      </c>
      <c r="L22" s="59"/>
      <c r="M22" s="60" t="s">
        <v>82</v>
      </c>
      <c r="N22" s="60" t="s">
        <v>37</v>
      </c>
      <c r="O22" s="56" t="s">
        <v>40</v>
      </c>
      <c r="P22" s="42">
        <v>5732745883</v>
      </c>
      <c r="Q22" s="90">
        <v>6965</v>
      </c>
      <c r="R22" s="90">
        <v>5650</v>
      </c>
      <c r="S22" s="91">
        <v>4882</v>
      </c>
      <c r="T22" s="62">
        <f>CEILING(V22,10)</f>
        <v>6420</v>
      </c>
      <c r="U22" s="63">
        <f>(Q22+R22+S22)/3</f>
        <v>5832.333333333333</v>
      </c>
      <c r="V22" s="63">
        <f>U22*1.1</f>
        <v>6415.5666666666666</v>
      </c>
      <c r="W22" s="184">
        <v>7000</v>
      </c>
      <c r="X22" s="64">
        <f>ROUND(W22*11,2)</f>
        <v>77000</v>
      </c>
      <c r="Y22" s="248">
        <f>CEILING(X22,1000)</f>
        <v>77000</v>
      </c>
      <c r="Z22" s="63"/>
      <c r="AA22" s="63"/>
      <c r="AB22" s="63"/>
      <c r="AC22" s="63">
        <f>$Y22</f>
        <v>77000</v>
      </c>
      <c r="AD22" s="63"/>
      <c r="AE22" s="63"/>
      <c r="AF22" s="63"/>
      <c r="AG22" s="256">
        <v>0.39</v>
      </c>
      <c r="AH22" s="5" t="s">
        <v>54</v>
      </c>
      <c r="AI22" s="63"/>
      <c r="AJ22" s="63"/>
      <c r="AK22" s="63"/>
      <c r="AL22" s="65">
        <f>ROUND(Ceny!$B$29*12,2)</f>
        <v>0</v>
      </c>
      <c r="AM22" s="63"/>
      <c r="AN22" s="63"/>
      <c r="AO22" s="63"/>
      <c r="AP22" s="63"/>
      <c r="AQ22" s="63"/>
      <c r="AR22" s="63"/>
      <c r="AS22" s="65">
        <f>ROUND($Y22*Ceny!$B$6/100,2)</f>
        <v>0</v>
      </c>
      <c r="AT22" s="63"/>
      <c r="AU22" s="63"/>
      <c r="AV22" s="63"/>
      <c r="AW22" s="65">
        <f>ROUND(SUM(AP22:AV22),2)</f>
        <v>0</v>
      </c>
      <c r="AX22" s="93">
        <f>ROUND(AG22*Y22/100,2)</f>
        <v>300.3</v>
      </c>
      <c r="AY22" s="63"/>
      <c r="AZ22" s="63"/>
      <c r="BA22" s="66">
        <f>ROUND(Ceny!$B$37*AC22/100,2)</f>
        <v>3049.2</v>
      </c>
      <c r="BB22" s="63"/>
      <c r="BC22" s="63"/>
      <c r="BD22" s="63"/>
      <c r="BE22" s="63"/>
      <c r="BF22" s="63"/>
      <c r="BG22" s="66">
        <f>ROUND(Ceny!$C$37*12,2)</f>
        <v>281.04000000000002</v>
      </c>
      <c r="BH22" s="63"/>
      <c r="BI22" s="63"/>
      <c r="BJ22" s="63"/>
      <c r="BK22" s="65">
        <f>ROUND(SUM(AY22:BD22),2)</f>
        <v>3049.2</v>
      </c>
      <c r="BL22" s="65">
        <f>ROUND(SUM(BE22:BJ22),2)</f>
        <v>281.04000000000002</v>
      </c>
      <c r="BM22" s="67">
        <f>ROUND(SUM(AI22:AO22)+AW22+AX22+BK22+BL22,2)</f>
        <v>3630.54</v>
      </c>
    </row>
    <row r="23" spans="1:72" s="94" customFormat="1" ht="21" customHeight="1" x14ac:dyDescent="0.2">
      <c r="A23" s="188">
        <v>129</v>
      </c>
      <c r="B23" s="78"/>
      <c r="C23" s="79">
        <v>6</v>
      </c>
      <c r="D23" s="80"/>
      <c r="E23" s="81" t="s">
        <v>160</v>
      </c>
      <c r="F23" s="81"/>
      <c r="G23" s="81"/>
      <c r="H23" s="83" t="s">
        <v>161</v>
      </c>
      <c r="I23" s="83" t="s">
        <v>152</v>
      </c>
      <c r="J23" s="81"/>
      <c r="K23" s="81"/>
      <c r="L23" s="81"/>
      <c r="M23" s="86"/>
      <c r="N23" s="86"/>
      <c r="O23" s="86"/>
      <c r="P23" s="86"/>
      <c r="Q23" s="87">
        <f t="shared" ref="Q23:AF23" si="46">SUM(Q24:Q24)</f>
        <v>54781</v>
      </c>
      <c r="R23" s="87">
        <f t="shared" si="46"/>
        <v>52670</v>
      </c>
      <c r="S23" s="87">
        <f t="shared" si="46"/>
        <v>47134</v>
      </c>
      <c r="T23" s="87">
        <f t="shared" si="46"/>
        <v>56690</v>
      </c>
      <c r="U23" s="87">
        <f t="shared" si="46"/>
        <v>51528.333333333336</v>
      </c>
      <c r="V23" s="87">
        <f t="shared" si="46"/>
        <v>56681.166666666672</v>
      </c>
      <c r="W23" s="87">
        <f t="shared" si="46"/>
        <v>9300</v>
      </c>
      <c r="X23" s="88">
        <f t="shared" si="46"/>
        <v>102300</v>
      </c>
      <c r="Y23" s="87">
        <f t="shared" si="46"/>
        <v>102300</v>
      </c>
      <c r="Z23" s="87">
        <f t="shared" si="46"/>
        <v>0</v>
      </c>
      <c r="AA23" s="87">
        <f t="shared" si="46"/>
        <v>0</v>
      </c>
      <c r="AB23" s="87">
        <f t="shared" si="46"/>
        <v>0</v>
      </c>
      <c r="AC23" s="87">
        <f t="shared" si="46"/>
        <v>0</v>
      </c>
      <c r="AD23" s="87">
        <f t="shared" si="46"/>
        <v>0</v>
      </c>
      <c r="AE23" s="87">
        <f t="shared" si="46"/>
        <v>102300</v>
      </c>
      <c r="AF23" s="87">
        <f t="shared" si="46"/>
        <v>0</v>
      </c>
      <c r="AG23" s="89"/>
      <c r="AH23" s="89"/>
      <c r="AI23" s="89">
        <f t="shared" ref="AI23:AW23" si="47">SUM(AI24:AI24)</f>
        <v>0</v>
      </c>
      <c r="AJ23" s="89">
        <f t="shared" si="47"/>
        <v>0</v>
      </c>
      <c r="AK23" s="89">
        <f t="shared" si="47"/>
        <v>0</v>
      </c>
      <c r="AL23" s="89">
        <f t="shared" si="47"/>
        <v>0</v>
      </c>
      <c r="AM23" s="89">
        <f t="shared" si="47"/>
        <v>0</v>
      </c>
      <c r="AN23" s="89">
        <f t="shared" si="47"/>
        <v>0</v>
      </c>
      <c r="AO23" s="89">
        <f t="shared" si="47"/>
        <v>0</v>
      </c>
      <c r="AP23" s="89">
        <f t="shared" si="47"/>
        <v>0</v>
      </c>
      <c r="AQ23" s="89">
        <f t="shared" si="47"/>
        <v>0</v>
      </c>
      <c r="AR23" s="89">
        <f t="shared" si="47"/>
        <v>0</v>
      </c>
      <c r="AS23" s="89">
        <f t="shared" si="47"/>
        <v>0</v>
      </c>
      <c r="AT23" s="89">
        <f t="shared" si="47"/>
        <v>0</v>
      </c>
      <c r="AU23" s="89">
        <f t="shared" si="47"/>
        <v>0</v>
      </c>
      <c r="AV23" s="89">
        <f t="shared" si="47"/>
        <v>0</v>
      </c>
      <c r="AW23" s="89">
        <f t="shared" si="47"/>
        <v>0</v>
      </c>
      <c r="AX23" s="89"/>
      <c r="AY23" s="89">
        <f t="shared" ref="AY23:BM23" si="48">SUM(AY24:AY24)</f>
        <v>0</v>
      </c>
      <c r="AZ23" s="89">
        <f t="shared" si="48"/>
        <v>0</v>
      </c>
      <c r="BA23" s="89">
        <f t="shared" si="48"/>
        <v>0</v>
      </c>
      <c r="BB23" s="89">
        <f t="shared" si="48"/>
        <v>0</v>
      </c>
      <c r="BC23" s="89">
        <f t="shared" si="48"/>
        <v>1800.48</v>
      </c>
      <c r="BD23" s="89">
        <f t="shared" si="48"/>
        <v>0</v>
      </c>
      <c r="BE23" s="89">
        <f t="shared" si="48"/>
        <v>0</v>
      </c>
      <c r="BF23" s="89">
        <f t="shared" si="48"/>
        <v>0</v>
      </c>
      <c r="BG23" s="89">
        <f t="shared" si="48"/>
        <v>0</v>
      </c>
      <c r="BH23" s="89">
        <f t="shared" si="48"/>
        <v>0</v>
      </c>
      <c r="BI23" s="89">
        <f t="shared" si="48"/>
        <v>0</v>
      </c>
      <c r="BJ23" s="89">
        <f t="shared" si="48"/>
        <v>0</v>
      </c>
      <c r="BK23" s="89">
        <f t="shared" si="48"/>
        <v>1800.48</v>
      </c>
      <c r="BL23" s="89">
        <f t="shared" si="48"/>
        <v>0</v>
      </c>
      <c r="BM23" s="89">
        <f t="shared" si="48"/>
        <v>1800.48</v>
      </c>
    </row>
    <row r="24" spans="1:72" s="94" customFormat="1" ht="21" customHeight="1" x14ac:dyDescent="0.2">
      <c r="A24" s="188">
        <v>130</v>
      </c>
      <c r="B24" s="53">
        <v>72</v>
      </c>
      <c r="C24" s="257"/>
      <c r="D24" s="258">
        <v>1</v>
      </c>
      <c r="E24" s="259" t="s">
        <v>160</v>
      </c>
      <c r="F24" s="260" t="s">
        <v>162</v>
      </c>
      <c r="G24" s="261" t="s">
        <v>163</v>
      </c>
      <c r="H24" s="261"/>
      <c r="I24" s="261"/>
      <c r="J24" s="255" t="s">
        <v>94</v>
      </c>
      <c r="K24" s="255" t="s">
        <v>95</v>
      </c>
      <c r="L24" s="255">
        <v>308</v>
      </c>
      <c r="M24" s="259" t="s">
        <v>82</v>
      </c>
      <c r="N24" s="259" t="s">
        <v>160</v>
      </c>
      <c r="O24" s="260" t="s">
        <v>162</v>
      </c>
      <c r="P24" s="262" t="s">
        <v>23</v>
      </c>
      <c r="Q24" s="263">
        <v>54781</v>
      </c>
      <c r="R24" s="263">
        <v>52670</v>
      </c>
      <c r="S24" s="264">
        <v>47134</v>
      </c>
      <c r="T24" s="265">
        <f>CEILING(V24,10)</f>
        <v>56690</v>
      </c>
      <c r="U24" s="266">
        <f>(Q24+R24+S24)/3</f>
        <v>51528.333333333336</v>
      </c>
      <c r="V24" s="266">
        <f>U24*1.1</f>
        <v>56681.166666666672</v>
      </c>
      <c r="W24" s="266">
        <v>9300</v>
      </c>
      <c r="X24" s="64">
        <f>ROUND(W24*11,2)</f>
        <v>102300</v>
      </c>
      <c r="Y24" s="248">
        <f>CEILING(X24,100)</f>
        <v>102300</v>
      </c>
      <c r="Z24" s="266"/>
      <c r="AA24" s="266"/>
      <c r="AB24" s="266"/>
      <c r="AC24" s="266"/>
      <c r="AD24" s="266"/>
      <c r="AE24" s="266">
        <f>Y24</f>
        <v>102300</v>
      </c>
      <c r="AF24" s="266"/>
      <c r="AG24" s="267" t="s">
        <v>24</v>
      </c>
      <c r="AH24" s="268">
        <v>8760</v>
      </c>
      <c r="AI24" s="266"/>
      <c r="AJ24" s="266"/>
      <c r="AK24" s="266"/>
      <c r="AL24" s="266"/>
      <c r="AM24" s="266"/>
      <c r="AN24" s="269"/>
      <c r="AO24" s="266"/>
      <c r="AP24" s="266"/>
      <c r="AQ24" s="266"/>
      <c r="AR24" s="266"/>
      <c r="AS24" s="266"/>
      <c r="AT24" s="266"/>
      <c r="AU24" s="269">
        <f>ROUND($Y24*[1]Ceny!$B$10/100,2)</f>
        <v>0</v>
      </c>
      <c r="AV24" s="266"/>
      <c r="AW24" s="269">
        <f>ROUND(SUM(AP24:AV24),2)</f>
        <v>0</v>
      </c>
      <c r="AX24" s="270" t="s">
        <v>55</v>
      </c>
      <c r="AY24" s="266"/>
      <c r="AZ24" s="266"/>
      <c r="BA24" s="266"/>
      <c r="BB24" s="266"/>
      <c r="BC24" s="269">
        <f>ROUND(([1]Ceny!$B$44*AE24)/100,2)</f>
        <v>1800.48</v>
      </c>
      <c r="BD24" s="266"/>
      <c r="BE24" s="266"/>
      <c r="BF24" s="266"/>
      <c r="BG24" s="266"/>
      <c r="BH24" s="266"/>
      <c r="BI24" s="269"/>
      <c r="BJ24" s="266"/>
      <c r="BK24" s="269">
        <f>ROUND(SUM(AY24:BD24),2)</f>
        <v>1800.48</v>
      </c>
      <c r="BL24" s="269">
        <f>ROUND(SUM(BE24:BJ24),2)</f>
        <v>0</v>
      </c>
      <c r="BM24" s="271">
        <f>ROUND(SUM(AI24:AO24)+AW24+BK24+BL24,2)</f>
        <v>1800.48</v>
      </c>
    </row>
    <row r="25" spans="1:72" ht="21" customHeight="1" x14ac:dyDescent="0.2">
      <c r="A25" s="11">
        <v>188</v>
      </c>
      <c r="B25" s="12"/>
      <c r="C25" s="69" t="s">
        <v>25</v>
      </c>
      <c r="D25" s="70"/>
      <c r="E25" s="71" t="s">
        <v>135</v>
      </c>
      <c r="F25" s="72"/>
      <c r="G25" s="73"/>
      <c r="H25" s="74"/>
      <c r="I25" s="74"/>
      <c r="J25" s="51"/>
      <c r="K25" s="51"/>
      <c r="L25" s="52"/>
      <c r="M25" s="75"/>
      <c r="N25" s="75"/>
      <c r="O25" s="75"/>
      <c r="P25" s="75"/>
      <c r="Q25" s="76">
        <f>Q26+Q28</f>
        <v>35783</v>
      </c>
      <c r="R25" s="76">
        <f t="shared" ref="R25:W25" si="49">R26+R28</f>
        <v>34262</v>
      </c>
      <c r="S25" s="76">
        <f t="shared" si="49"/>
        <v>28520</v>
      </c>
      <c r="T25" s="76">
        <f t="shared" si="49"/>
        <v>36150</v>
      </c>
      <c r="U25" s="76">
        <f t="shared" si="49"/>
        <v>32855</v>
      </c>
      <c r="V25" s="76">
        <f t="shared" si="49"/>
        <v>36140.5</v>
      </c>
      <c r="W25" s="76">
        <f t="shared" si="49"/>
        <v>113000</v>
      </c>
      <c r="X25" s="76">
        <f t="shared" ref="X25:AF25" si="50">X26+X28</f>
        <v>1243000</v>
      </c>
      <c r="Y25" s="76">
        <f t="shared" si="50"/>
        <v>1243000</v>
      </c>
      <c r="Z25" s="76">
        <f t="shared" si="50"/>
        <v>0</v>
      </c>
      <c r="AA25" s="76">
        <f t="shared" si="50"/>
        <v>0</v>
      </c>
      <c r="AB25" s="76">
        <f t="shared" si="50"/>
        <v>0</v>
      </c>
      <c r="AC25" s="76">
        <f t="shared" si="50"/>
        <v>0</v>
      </c>
      <c r="AD25" s="76">
        <f t="shared" si="50"/>
        <v>0</v>
      </c>
      <c r="AE25" s="76">
        <f t="shared" si="50"/>
        <v>1243000</v>
      </c>
      <c r="AF25" s="76">
        <f t="shared" si="50"/>
        <v>0</v>
      </c>
      <c r="AG25" s="76"/>
      <c r="AH25" s="76"/>
      <c r="AI25" s="77">
        <f>AI26+AI28</f>
        <v>0</v>
      </c>
      <c r="AJ25" s="77">
        <f t="shared" ref="AJ25:AW25" si="51">AJ26+AJ28</f>
        <v>0</v>
      </c>
      <c r="AK25" s="77">
        <f t="shared" si="51"/>
        <v>0</v>
      </c>
      <c r="AL25" s="77">
        <f t="shared" si="51"/>
        <v>0</v>
      </c>
      <c r="AM25" s="77">
        <f t="shared" si="51"/>
        <v>0</v>
      </c>
      <c r="AN25" s="77">
        <f t="shared" si="51"/>
        <v>0</v>
      </c>
      <c r="AO25" s="77">
        <f t="shared" si="51"/>
        <v>0</v>
      </c>
      <c r="AP25" s="77">
        <f t="shared" si="51"/>
        <v>0</v>
      </c>
      <c r="AQ25" s="77">
        <f t="shared" si="51"/>
        <v>0</v>
      </c>
      <c r="AR25" s="77">
        <f t="shared" si="51"/>
        <v>0</v>
      </c>
      <c r="AS25" s="77">
        <f t="shared" si="51"/>
        <v>0</v>
      </c>
      <c r="AT25" s="77">
        <f t="shared" si="51"/>
        <v>0</v>
      </c>
      <c r="AU25" s="77">
        <f t="shared" si="51"/>
        <v>0</v>
      </c>
      <c r="AV25" s="77">
        <f t="shared" si="51"/>
        <v>0</v>
      </c>
      <c r="AW25" s="77">
        <f t="shared" si="51"/>
        <v>0</v>
      </c>
      <c r="AX25" s="77">
        <f t="shared" ref="AX25" si="52">AX26+AX28</f>
        <v>3646.5</v>
      </c>
      <c r="AY25" s="77">
        <f t="shared" ref="AY25" si="53">AY26+AY28</f>
        <v>0</v>
      </c>
      <c r="AZ25" s="77">
        <f t="shared" ref="AZ25" si="54">AZ26+AZ28</f>
        <v>0</v>
      </c>
      <c r="BA25" s="77">
        <f t="shared" ref="BA25" si="55">BA26+BA28</f>
        <v>0</v>
      </c>
      <c r="BB25" s="77">
        <f t="shared" ref="BB25" si="56">BB26+BB28</f>
        <v>0</v>
      </c>
      <c r="BC25" s="77">
        <f t="shared" ref="BC25" si="57">BC26+BC28</f>
        <v>21876.799999999999</v>
      </c>
      <c r="BD25" s="77">
        <f t="shared" ref="BD25" si="58">BD26+BD28</f>
        <v>0</v>
      </c>
      <c r="BE25" s="77">
        <f t="shared" ref="BE25" si="59">BE26+BE28</f>
        <v>0</v>
      </c>
      <c r="BF25" s="77">
        <f t="shared" ref="BF25" si="60">BF26+BF28</f>
        <v>0</v>
      </c>
      <c r="BG25" s="77">
        <f t="shared" ref="BG25" si="61">BG26+BG28</f>
        <v>0</v>
      </c>
      <c r="BH25" s="77">
        <f t="shared" ref="BH25" si="62">BH26+BH28</f>
        <v>0</v>
      </c>
      <c r="BI25" s="77">
        <f t="shared" ref="BI25" si="63">BI26+BI28</f>
        <v>43532.29</v>
      </c>
      <c r="BJ25" s="77">
        <f t="shared" ref="BJ25" si="64">BJ26+BJ28</f>
        <v>0</v>
      </c>
      <c r="BK25" s="77">
        <f t="shared" ref="BK25" si="65">BK26+BK28</f>
        <v>21876.799999999999</v>
      </c>
      <c r="BL25" s="77">
        <f t="shared" ref="BL25" si="66">BL26+BL28</f>
        <v>43532.29</v>
      </c>
      <c r="BM25" s="77">
        <f t="shared" ref="BM25" si="67">BM26+BM28</f>
        <v>69055.59</v>
      </c>
    </row>
    <row r="26" spans="1:72" s="189" customFormat="1" ht="21" customHeight="1" x14ac:dyDescent="0.2">
      <c r="A26" s="188">
        <v>12</v>
      </c>
      <c r="B26" s="78"/>
      <c r="C26" s="79">
        <v>1</v>
      </c>
      <c r="D26" s="80"/>
      <c r="E26" s="81" t="s">
        <v>132</v>
      </c>
      <c r="F26" s="81"/>
      <c r="G26" s="82"/>
      <c r="H26" s="83" t="s">
        <v>147</v>
      </c>
      <c r="I26" s="83" t="s">
        <v>152</v>
      </c>
      <c r="J26" s="84"/>
      <c r="K26" s="84"/>
      <c r="L26" s="85"/>
      <c r="M26" s="86"/>
      <c r="N26" s="86"/>
      <c r="O26" s="86"/>
      <c r="P26" s="86"/>
      <c r="Q26" s="87">
        <f t="shared" ref="Q26:AF26" si="68">SUM(Q27:Q27)</f>
        <v>35783</v>
      </c>
      <c r="R26" s="87">
        <f t="shared" si="68"/>
        <v>34262</v>
      </c>
      <c r="S26" s="87">
        <f t="shared" si="68"/>
        <v>28520</v>
      </c>
      <c r="T26" s="87">
        <f t="shared" si="68"/>
        <v>36150</v>
      </c>
      <c r="U26" s="87">
        <f t="shared" si="68"/>
        <v>32855</v>
      </c>
      <c r="V26" s="87">
        <f t="shared" si="68"/>
        <v>36140.5</v>
      </c>
      <c r="W26" s="87">
        <f t="shared" si="68"/>
        <v>85000</v>
      </c>
      <c r="X26" s="88">
        <f t="shared" si="68"/>
        <v>935000</v>
      </c>
      <c r="Y26" s="87">
        <f t="shared" si="68"/>
        <v>935000</v>
      </c>
      <c r="Z26" s="87">
        <f t="shared" si="68"/>
        <v>0</v>
      </c>
      <c r="AA26" s="87">
        <f t="shared" si="68"/>
        <v>0</v>
      </c>
      <c r="AB26" s="87">
        <f t="shared" si="68"/>
        <v>0</v>
      </c>
      <c r="AC26" s="87">
        <f t="shared" si="68"/>
        <v>0</v>
      </c>
      <c r="AD26" s="87">
        <f t="shared" si="68"/>
        <v>0</v>
      </c>
      <c r="AE26" s="87">
        <f t="shared" si="68"/>
        <v>935000</v>
      </c>
      <c r="AF26" s="87">
        <f t="shared" si="68"/>
        <v>0</v>
      </c>
      <c r="AG26" s="89"/>
      <c r="AH26" s="89"/>
      <c r="AI26" s="89">
        <f t="shared" ref="AI26:AW26" si="69">SUM(AI27:AI27)</f>
        <v>0</v>
      </c>
      <c r="AJ26" s="89">
        <f t="shared" si="69"/>
        <v>0</v>
      </c>
      <c r="AK26" s="89">
        <f t="shared" si="69"/>
        <v>0</v>
      </c>
      <c r="AL26" s="89">
        <f t="shared" si="69"/>
        <v>0</v>
      </c>
      <c r="AM26" s="89">
        <f t="shared" si="69"/>
        <v>0</v>
      </c>
      <c r="AN26" s="89">
        <f t="shared" si="69"/>
        <v>0</v>
      </c>
      <c r="AO26" s="89">
        <f t="shared" si="69"/>
        <v>0</v>
      </c>
      <c r="AP26" s="89">
        <f t="shared" si="69"/>
        <v>0</v>
      </c>
      <c r="AQ26" s="89">
        <f t="shared" si="69"/>
        <v>0</v>
      </c>
      <c r="AR26" s="89">
        <f t="shared" si="69"/>
        <v>0</v>
      </c>
      <c r="AS26" s="89">
        <f t="shared" si="69"/>
        <v>0</v>
      </c>
      <c r="AT26" s="89">
        <f t="shared" si="69"/>
        <v>0</v>
      </c>
      <c r="AU26" s="89">
        <f t="shared" si="69"/>
        <v>0</v>
      </c>
      <c r="AV26" s="89">
        <f t="shared" si="69"/>
        <v>0</v>
      </c>
      <c r="AW26" s="89">
        <f t="shared" si="69"/>
        <v>0</v>
      </c>
      <c r="AX26" s="89">
        <f t="shared" ref="AX26" si="70">SUM(AX27:AX27)</f>
        <v>3646.5</v>
      </c>
      <c r="AY26" s="89">
        <f t="shared" ref="AY26:BM26" si="71">SUM(AY27:AY27)</f>
        <v>0</v>
      </c>
      <c r="AZ26" s="89">
        <f t="shared" si="71"/>
        <v>0</v>
      </c>
      <c r="BA26" s="89">
        <f t="shared" si="71"/>
        <v>0</v>
      </c>
      <c r="BB26" s="89">
        <f t="shared" si="71"/>
        <v>0</v>
      </c>
      <c r="BC26" s="89">
        <f t="shared" si="71"/>
        <v>16456</v>
      </c>
      <c r="BD26" s="89">
        <f t="shared" si="71"/>
        <v>0</v>
      </c>
      <c r="BE26" s="89">
        <f t="shared" si="71"/>
        <v>0</v>
      </c>
      <c r="BF26" s="89">
        <f t="shared" si="71"/>
        <v>0</v>
      </c>
      <c r="BG26" s="89">
        <f t="shared" si="71"/>
        <v>0</v>
      </c>
      <c r="BH26" s="89">
        <f t="shared" si="71"/>
        <v>0</v>
      </c>
      <c r="BI26" s="89">
        <f t="shared" si="71"/>
        <v>35276.17</v>
      </c>
      <c r="BJ26" s="89">
        <f t="shared" si="71"/>
        <v>0</v>
      </c>
      <c r="BK26" s="89">
        <f t="shared" si="71"/>
        <v>16456</v>
      </c>
      <c r="BL26" s="89">
        <f t="shared" si="71"/>
        <v>35276.17</v>
      </c>
      <c r="BM26" s="89">
        <f t="shared" si="71"/>
        <v>55378.67</v>
      </c>
    </row>
    <row r="27" spans="1:72" s="221" customFormat="1" ht="21" customHeight="1" x14ac:dyDescent="0.2">
      <c r="A27" s="198">
        <v>13</v>
      </c>
      <c r="B27" s="199">
        <v>8</v>
      </c>
      <c r="C27" s="200"/>
      <c r="D27" s="201">
        <v>1</v>
      </c>
      <c r="E27" s="181" t="s">
        <v>132</v>
      </c>
      <c r="F27" s="180" t="s">
        <v>130</v>
      </c>
      <c r="G27" s="182" t="s">
        <v>131</v>
      </c>
      <c r="H27" s="247"/>
      <c r="I27" s="216"/>
      <c r="J27" s="217" t="s">
        <v>94</v>
      </c>
      <c r="K27" s="217" t="s">
        <v>95</v>
      </c>
      <c r="L27" s="255">
        <v>658</v>
      </c>
      <c r="M27" s="181" t="s">
        <v>132</v>
      </c>
      <c r="N27" s="181" t="s">
        <v>132</v>
      </c>
      <c r="O27" s="180" t="s">
        <v>133</v>
      </c>
      <c r="P27" s="179">
        <v>5730108310</v>
      </c>
      <c r="Q27" s="206">
        <v>35783</v>
      </c>
      <c r="R27" s="206">
        <v>34262</v>
      </c>
      <c r="S27" s="219">
        <v>28520</v>
      </c>
      <c r="T27" s="208">
        <f>CEILING(V27,10)</f>
        <v>36150</v>
      </c>
      <c r="U27" s="184">
        <f>(Q27+R27+S27)/3</f>
        <v>32855</v>
      </c>
      <c r="V27" s="184">
        <f>U27*1.1</f>
        <v>36140.5</v>
      </c>
      <c r="W27" s="184">
        <v>85000</v>
      </c>
      <c r="X27" s="209">
        <f>ROUND(W27*11,2)</f>
        <v>935000</v>
      </c>
      <c r="Y27" s="248">
        <f>CEILING(X27,1000)</f>
        <v>935000</v>
      </c>
      <c r="Z27" s="184"/>
      <c r="AA27" s="184"/>
      <c r="AB27" s="184"/>
      <c r="AC27" s="184"/>
      <c r="AD27" s="184"/>
      <c r="AE27" s="184">
        <f>Y27</f>
        <v>935000</v>
      </c>
      <c r="AF27" s="184"/>
      <c r="AG27" s="256">
        <v>0.39</v>
      </c>
      <c r="AH27" s="210">
        <v>8760</v>
      </c>
      <c r="AI27" s="184"/>
      <c r="AJ27" s="184"/>
      <c r="AK27" s="184"/>
      <c r="AL27" s="184"/>
      <c r="AM27" s="184"/>
      <c r="AN27" s="183">
        <f>ROUND(Ceny!$B$31*12,2)</f>
        <v>0</v>
      </c>
      <c r="AO27" s="184"/>
      <c r="AP27" s="184"/>
      <c r="AQ27" s="184"/>
      <c r="AR27" s="184"/>
      <c r="AS27" s="184"/>
      <c r="AT27" s="184"/>
      <c r="AU27" s="183">
        <f>ROUND($Y27*Ceny!$B$8/100,2)</f>
        <v>0</v>
      </c>
      <c r="AV27" s="184"/>
      <c r="AW27" s="183">
        <f>ROUND(SUM(AP27:AV27),2)</f>
        <v>0</v>
      </c>
      <c r="AX27" s="211">
        <f>ROUND(AG27*Y27/100,2)</f>
        <v>3646.5</v>
      </c>
      <c r="AY27" s="184"/>
      <c r="AZ27" s="184"/>
      <c r="BA27" s="184"/>
      <c r="BB27" s="184"/>
      <c r="BC27" s="183">
        <f>ROUND((Ceny!$B$39*AE27)/100,2)</f>
        <v>16456</v>
      </c>
      <c r="BD27" s="184"/>
      <c r="BE27" s="184"/>
      <c r="BF27" s="184"/>
      <c r="BG27" s="184"/>
      <c r="BH27" s="184"/>
      <c r="BI27" s="183">
        <f>ROUND((Ceny!$D$39*L27*AH27/100),2)</f>
        <v>35276.17</v>
      </c>
      <c r="BJ27" s="184"/>
      <c r="BK27" s="183">
        <f>ROUND(SUM(AY27:BD27),2)</f>
        <v>16456</v>
      </c>
      <c r="BL27" s="183">
        <f>ROUND(SUM(BE27:BJ27),2)</f>
        <v>35276.17</v>
      </c>
      <c r="BM27" s="213">
        <f>ROUND(SUM(AI27:AO27)+AW27+AX27+BK27+BL27,2)</f>
        <v>55378.67</v>
      </c>
    </row>
    <row r="28" spans="1:72" s="94" customFormat="1" ht="21" customHeight="1" x14ac:dyDescent="0.2">
      <c r="A28" s="11">
        <v>205</v>
      </c>
      <c r="B28" s="78"/>
      <c r="C28" s="79">
        <v>2</v>
      </c>
      <c r="D28" s="80"/>
      <c r="E28" s="81" t="s">
        <v>41</v>
      </c>
      <c r="F28" s="81"/>
      <c r="G28" s="82"/>
      <c r="H28" s="83" t="s">
        <v>154</v>
      </c>
      <c r="I28" s="83" t="s">
        <v>152</v>
      </c>
      <c r="J28" s="84"/>
      <c r="K28" s="84"/>
      <c r="L28" s="85"/>
      <c r="M28" s="86"/>
      <c r="N28" s="86"/>
      <c r="O28" s="86"/>
      <c r="P28" s="86"/>
      <c r="Q28" s="87">
        <f t="shared" ref="Q28:AF28" si="72">SUM(Q29:Q29)</f>
        <v>0</v>
      </c>
      <c r="R28" s="87">
        <f t="shared" si="72"/>
        <v>0</v>
      </c>
      <c r="S28" s="87">
        <f t="shared" si="72"/>
        <v>0</v>
      </c>
      <c r="T28" s="87">
        <f t="shared" si="72"/>
        <v>0</v>
      </c>
      <c r="U28" s="87">
        <f t="shared" si="72"/>
        <v>0</v>
      </c>
      <c r="V28" s="87">
        <f t="shared" si="72"/>
        <v>0</v>
      </c>
      <c r="W28" s="87">
        <f t="shared" si="72"/>
        <v>28000</v>
      </c>
      <c r="X28" s="88">
        <f t="shared" si="72"/>
        <v>308000</v>
      </c>
      <c r="Y28" s="87">
        <f t="shared" si="72"/>
        <v>308000</v>
      </c>
      <c r="Z28" s="87">
        <f t="shared" si="72"/>
        <v>0</v>
      </c>
      <c r="AA28" s="87">
        <f t="shared" si="72"/>
        <v>0</v>
      </c>
      <c r="AB28" s="87">
        <f t="shared" si="72"/>
        <v>0</v>
      </c>
      <c r="AC28" s="87">
        <f t="shared" si="72"/>
        <v>0</v>
      </c>
      <c r="AD28" s="87">
        <f t="shared" si="72"/>
        <v>0</v>
      </c>
      <c r="AE28" s="87">
        <f t="shared" si="72"/>
        <v>308000</v>
      </c>
      <c r="AF28" s="87">
        <f t="shared" si="72"/>
        <v>0</v>
      </c>
      <c r="AG28" s="89"/>
      <c r="AH28" s="89"/>
      <c r="AI28" s="89">
        <f t="shared" ref="AI28:AW28" si="73">SUM(AI29:AI29)</f>
        <v>0</v>
      </c>
      <c r="AJ28" s="89">
        <f t="shared" si="73"/>
        <v>0</v>
      </c>
      <c r="AK28" s="89">
        <f t="shared" si="73"/>
        <v>0</v>
      </c>
      <c r="AL28" s="89">
        <f t="shared" si="73"/>
        <v>0</v>
      </c>
      <c r="AM28" s="89">
        <f t="shared" si="73"/>
        <v>0</v>
      </c>
      <c r="AN28" s="89">
        <f t="shared" si="73"/>
        <v>0</v>
      </c>
      <c r="AO28" s="89">
        <f t="shared" si="73"/>
        <v>0</v>
      </c>
      <c r="AP28" s="89">
        <f t="shared" si="73"/>
        <v>0</v>
      </c>
      <c r="AQ28" s="89">
        <f t="shared" si="73"/>
        <v>0</v>
      </c>
      <c r="AR28" s="89">
        <f t="shared" si="73"/>
        <v>0</v>
      </c>
      <c r="AS28" s="89">
        <f t="shared" si="73"/>
        <v>0</v>
      </c>
      <c r="AT28" s="89">
        <f t="shared" si="73"/>
        <v>0</v>
      </c>
      <c r="AU28" s="89">
        <f t="shared" si="73"/>
        <v>0</v>
      </c>
      <c r="AV28" s="89">
        <f t="shared" si="73"/>
        <v>0</v>
      </c>
      <c r="AW28" s="89">
        <f t="shared" si="73"/>
        <v>0</v>
      </c>
      <c r="AX28" s="89"/>
      <c r="AY28" s="89">
        <f t="shared" ref="AY28:BM28" si="74">SUM(AY29:AY29)</f>
        <v>0</v>
      </c>
      <c r="AZ28" s="89">
        <f t="shared" si="74"/>
        <v>0</v>
      </c>
      <c r="BA28" s="89">
        <f t="shared" si="74"/>
        <v>0</v>
      </c>
      <c r="BB28" s="89">
        <f t="shared" si="74"/>
        <v>0</v>
      </c>
      <c r="BC28" s="89">
        <f t="shared" si="74"/>
        <v>5420.8</v>
      </c>
      <c r="BD28" s="89">
        <f t="shared" si="74"/>
        <v>0</v>
      </c>
      <c r="BE28" s="89">
        <f t="shared" si="74"/>
        <v>0</v>
      </c>
      <c r="BF28" s="89">
        <f t="shared" si="74"/>
        <v>0</v>
      </c>
      <c r="BG28" s="89">
        <f t="shared" si="74"/>
        <v>0</v>
      </c>
      <c r="BH28" s="89">
        <f t="shared" si="74"/>
        <v>0</v>
      </c>
      <c r="BI28" s="89">
        <f t="shared" si="74"/>
        <v>8256.1200000000008</v>
      </c>
      <c r="BJ28" s="89">
        <f t="shared" si="74"/>
        <v>0</v>
      </c>
      <c r="BK28" s="89">
        <f t="shared" si="74"/>
        <v>5420.8</v>
      </c>
      <c r="BL28" s="89">
        <f t="shared" si="74"/>
        <v>8256.1200000000008</v>
      </c>
      <c r="BM28" s="89">
        <f t="shared" si="74"/>
        <v>13676.92</v>
      </c>
    </row>
    <row r="29" spans="1:72" s="94" customFormat="1" ht="21" customHeight="1" x14ac:dyDescent="0.2">
      <c r="A29" s="11">
        <v>206</v>
      </c>
      <c r="B29" s="53">
        <v>116</v>
      </c>
      <c r="C29" s="54"/>
      <c r="D29" s="55">
        <v>1</v>
      </c>
      <c r="E29" s="246" t="s">
        <v>42</v>
      </c>
      <c r="F29" s="56" t="s">
        <v>43</v>
      </c>
      <c r="G29" s="102" t="s">
        <v>122</v>
      </c>
      <c r="H29" s="102"/>
      <c r="I29" s="102"/>
      <c r="J29" s="96" t="s">
        <v>94</v>
      </c>
      <c r="K29" s="96" t="s">
        <v>95</v>
      </c>
      <c r="L29" s="103">
        <v>154</v>
      </c>
      <c r="M29" s="56" t="s">
        <v>41</v>
      </c>
      <c r="N29" s="56" t="s">
        <v>41</v>
      </c>
      <c r="O29" s="104" t="s">
        <v>44</v>
      </c>
      <c r="P29" s="42">
        <v>5732301100</v>
      </c>
      <c r="Q29" s="90"/>
      <c r="R29" s="90"/>
      <c r="S29" s="97"/>
      <c r="T29" s="62">
        <f t="shared" ref="T29" si="75">CEILING(V29,10)</f>
        <v>0</v>
      </c>
      <c r="U29" s="63">
        <f t="shared" ref="U29" si="76">(Q29+R29+S29)/3</f>
        <v>0</v>
      </c>
      <c r="V29" s="63">
        <f t="shared" ref="V29" si="77">U29*1.1</f>
        <v>0</v>
      </c>
      <c r="W29" s="184">
        <v>28000</v>
      </c>
      <c r="X29" s="64">
        <f t="shared" ref="X29" si="78">ROUND(W29*11,2)</f>
        <v>308000</v>
      </c>
      <c r="Y29" s="248">
        <f>CEILING(X29,1000)</f>
        <v>308000</v>
      </c>
      <c r="Z29" s="63"/>
      <c r="AA29" s="63"/>
      <c r="AB29" s="63"/>
      <c r="AC29" s="63"/>
      <c r="AD29" s="63"/>
      <c r="AE29" s="63">
        <f>Y29</f>
        <v>308000</v>
      </c>
      <c r="AF29" s="63"/>
      <c r="AG29" s="42" t="s">
        <v>24</v>
      </c>
      <c r="AH29" s="5">
        <v>8760</v>
      </c>
      <c r="AI29" s="63"/>
      <c r="AJ29" s="63"/>
      <c r="AK29" s="63"/>
      <c r="AL29" s="63"/>
      <c r="AM29" s="63"/>
      <c r="AN29" s="65">
        <f>ROUND(Ceny!$B$31*12,2)</f>
        <v>0</v>
      </c>
      <c r="AO29" s="63"/>
      <c r="AP29" s="63"/>
      <c r="AQ29" s="63"/>
      <c r="AR29" s="63"/>
      <c r="AS29" s="63"/>
      <c r="AT29" s="63"/>
      <c r="AU29" s="65">
        <f>ROUND($Y29*Ceny!$B$8/100,2)</f>
        <v>0</v>
      </c>
      <c r="AV29" s="63"/>
      <c r="AW29" s="65">
        <f t="shared" ref="AW29" si="79">ROUND(SUM(AP29:AV29),2)</f>
        <v>0</v>
      </c>
      <c r="AX29" s="61" t="s">
        <v>55</v>
      </c>
      <c r="AY29" s="63"/>
      <c r="AZ29" s="63"/>
      <c r="BA29" s="63"/>
      <c r="BB29" s="63"/>
      <c r="BC29" s="65">
        <f>ROUND((Ceny!$B$39*AE29)/100,2)</f>
        <v>5420.8</v>
      </c>
      <c r="BD29" s="63"/>
      <c r="BE29" s="63"/>
      <c r="BF29" s="63"/>
      <c r="BG29" s="63"/>
      <c r="BH29" s="63"/>
      <c r="BI29" s="65">
        <f>ROUND((Ceny!$D$39*L29*AH29/100),2)</f>
        <v>8256.1200000000008</v>
      </c>
      <c r="BJ29" s="63"/>
      <c r="BK29" s="183">
        <f t="shared" ref="BK29" si="80">ROUND(SUM(AY29:BD29),2)</f>
        <v>5420.8</v>
      </c>
      <c r="BL29" s="183">
        <f t="shared" ref="BL29" si="81">ROUND(SUM(BE29:BJ29),2)</f>
        <v>8256.1200000000008</v>
      </c>
      <c r="BM29" s="67">
        <f t="shared" ref="BM29" si="82">ROUND(SUM(AI29:AO29)+AW29+BK29+BL29,2)</f>
        <v>13676.92</v>
      </c>
      <c r="BN29" s="33"/>
      <c r="BO29" s="33"/>
      <c r="BP29" s="33"/>
      <c r="BQ29" s="33"/>
      <c r="BR29" s="33"/>
      <c r="BS29" s="33"/>
      <c r="BT29" s="33"/>
    </row>
    <row r="34" spans="12:12" x14ac:dyDescent="0.2">
      <c r="L34" s="225"/>
    </row>
  </sheetData>
  <autoFilter ref="D4:GN29"/>
  <mergeCells count="25">
    <mergeCell ref="C2:C3"/>
    <mergeCell ref="E2:E3"/>
    <mergeCell ref="F2:F3"/>
    <mergeCell ref="H2:H3"/>
    <mergeCell ref="D2:D3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BM2:BM3"/>
    <mergeCell ref="AY2:BD2"/>
    <mergeCell ref="BE2:BJ2"/>
    <mergeCell ref="AW2:AX2"/>
    <mergeCell ref="AI2:AO2"/>
    <mergeCell ref="Z2:AF2"/>
    <mergeCell ref="AG2:AG3"/>
    <mergeCell ref="W2:Y3"/>
    <mergeCell ref="BK2:BL2"/>
    <mergeCell ref="AH2:AH3"/>
    <mergeCell ref="AP2:AV2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L8" sqref="L8"/>
    </sheetView>
  </sheetViews>
  <sheetFormatPr defaultColWidth="10.7109375" defaultRowHeight="11.25" x14ac:dyDescent="0.2"/>
  <cols>
    <col min="1" max="1" width="5.140625" style="25" hidden="1" customWidth="1"/>
    <col min="2" max="2" width="5.140625" style="105" hidden="1" customWidth="1"/>
    <col min="3" max="3" width="7.7109375" style="27" customWidth="1"/>
    <col min="4" max="4" width="7.7109375" style="106" customWidth="1"/>
    <col min="5" max="5" width="57" style="30" customWidth="1"/>
    <col min="6" max="6" width="14" style="30" customWidth="1"/>
    <col min="7" max="7" width="8.42578125" style="34" customWidth="1"/>
    <col min="8" max="10" width="9.28515625" style="34" customWidth="1"/>
    <col min="11" max="11" width="8.140625" style="34" customWidth="1"/>
    <col min="12" max="13" width="9.28515625" style="34" customWidth="1"/>
    <col min="14" max="14" width="15.7109375" style="118" customWidth="1"/>
    <col min="15" max="16384" width="10.7109375" style="33"/>
  </cols>
  <sheetData>
    <row r="2" spans="1:15" ht="12.75" x14ac:dyDescent="0.2">
      <c r="B2" s="26"/>
      <c r="C2" s="120" t="s">
        <v>136</v>
      </c>
    </row>
    <row r="3" spans="1:15" ht="13.5" thickBot="1" x14ac:dyDescent="0.25">
      <c r="B3" s="26"/>
      <c r="C3" s="120"/>
    </row>
    <row r="4" spans="1:15" s="1" customFormat="1" ht="22.5" customHeight="1" x14ac:dyDescent="0.2">
      <c r="A4" s="7"/>
      <c r="B4" s="9"/>
      <c r="C4" s="297" t="s">
        <v>5</v>
      </c>
      <c r="D4" s="302" t="s">
        <v>4</v>
      </c>
      <c r="E4" s="302" t="s">
        <v>6</v>
      </c>
      <c r="F4" s="299" t="s">
        <v>158</v>
      </c>
      <c r="G4" s="299" t="s">
        <v>157</v>
      </c>
      <c r="H4" s="299"/>
      <c r="I4" s="299"/>
      <c r="J4" s="299"/>
      <c r="K4" s="299"/>
      <c r="L4" s="299"/>
      <c r="M4" s="299"/>
      <c r="N4" s="300" t="s">
        <v>48</v>
      </c>
    </row>
    <row r="5" spans="1:15" s="3" customFormat="1" ht="40.5" customHeight="1" x14ac:dyDescent="0.2">
      <c r="A5" s="8"/>
      <c r="B5" s="10"/>
      <c r="C5" s="298"/>
      <c r="D5" s="287"/>
      <c r="E5" s="287"/>
      <c r="F5" s="291"/>
      <c r="G5" s="2" t="s">
        <v>100</v>
      </c>
      <c r="H5" s="2" t="s">
        <v>101</v>
      </c>
      <c r="I5" s="2" t="s">
        <v>102</v>
      </c>
      <c r="J5" s="2" t="s">
        <v>103</v>
      </c>
      <c r="K5" s="2" t="s">
        <v>16</v>
      </c>
      <c r="L5" s="2" t="s">
        <v>104</v>
      </c>
      <c r="M5" s="2" t="s">
        <v>105</v>
      </c>
      <c r="N5" s="301"/>
      <c r="O5" s="23"/>
    </row>
    <row r="6" spans="1:15" s="23" customFormat="1" x14ac:dyDescent="0.2">
      <c r="A6" s="39"/>
      <c r="B6" s="40"/>
      <c r="C6" s="298"/>
      <c r="D6" s="287"/>
      <c r="E6" s="287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19" t="s">
        <v>19</v>
      </c>
    </row>
    <row r="7" spans="1:15" s="24" customFormat="1" ht="21" customHeight="1" x14ac:dyDescent="0.2">
      <c r="A7" s="11">
        <v>1</v>
      </c>
      <c r="B7" s="121"/>
      <c r="C7" s="124"/>
      <c r="D7" s="115"/>
      <c r="E7" s="15" t="s">
        <v>142</v>
      </c>
      <c r="F7" s="117">
        <f>SUM(G7:M7)</f>
        <v>7720800</v>
      </c>
      <c r="G7" s="21">
        <f>G8+G27</f>
        <v>0</v>
      </c>
      <c r="H7" s="21">
        <f t="shared" ref="H7:M7" si="0">H8+H27</f>
        <v>9000</v>
      </c>
      <c r="I7" s="21">
        <f t="shared" si="0"/>
        <v>0</v>
      </c>
      <c r="J7" s="21">
        <f t="shared" si="0"/>
        <v>402500</v>
      </c>
      <c r="K7" s="21">
        <f t="shared" si="0"/>
        <v>409000</v>
      </c>
      <c r="L7" s="21">
        <f t="shared" si="0"/>
        <v>1345300</v>
      </c>
      <c r="M7" s="21">
        <f t="shared" si="0"/>
        <v>5555000</v>
      </c>
      <c r="N7" s="22">
        <f>N8+N27</f>
        <v>313765.26999999996</v>
      </c>
      <c r="O7" s="23"/>
    </row>
    <row r="8" spans="1:15" ht="21" customHeight="1" x14ac:dyDescent="0.2">
      <c r="A8" s="11">
        <v>7</v>
      </c>
      <c r="B8" s="121"/>
      <c r="C8" s="126" t="s">
        <v>141</v>
      </c>
      <c r="D8" s="116"/>
      <c r="E8" s="71" t="s">
        <v>134</v>
      </c>
      <c r="F8" s="112">
        <f t="shared" ref="F8:F17" si="1">SUM(G8:M8)</f>
        <v>6477800</v>
      </c>
      <c r="G8" s="110">
        <f>G9+G11+G15+G21+G23</f>
        <v>0</v>
      </c>
      <c r="H8" s="110">
        <f t="shared" ref="H8:N8" si="2">H9+H11+H15+H21+H23</f>
        <v>9000</v>
      </c>
      <c r="I8" s="110">
        <f t="shared" si="2"/>
        <v>0</v>
      </c>
      <c r="J8" s="110">
        <f t="shared" si="2"/>
        <v>402500</v>
      </c>
      <c r="K8" s="110">
        <f t="shared" si="2"/>
        <v>409000</v>
      </c>
      <c r="L8" s="110">
        <f>L9+L11+L15+L21+L23+L25</f>
        <v>102300</v>
      </c>
      <c r="M8" s="110">
        <f t="shared" si="2"/>
        <v>5555000</v>
      </c>
      <c r="N8" s="110">
        <f t="shared" si="2"/>
        <v>244709.67999999996</v>
      </c>
    </row>
    <row r="9" spans="1:15" s="23" customFormat="1" ht="21" customHeight="1" x14ac:dyDescent="0.2">
      <c r="A9" s="11">
        <v>8</v>
      </c>
      <c r="B9" s="123"/>
      <c r="C9" s="127">
        <v>1</v>
      </c>
      <c r="D9" s="79"/>
      <c r="E9" s="81" t="s">
        <v>129</v>
      </c>
      <c r="F9" s="113">
        <f t="shared" si="1"/>
        <v>83000</v>
      </c>
      <c r="G9" s="113">
        <f t="shared" ref="G9:N9" si="3">SUM(G10:G10)</f>
        <v>0</v>
      </c>
      <c r="H9" s="113">
        <f t="shared" si="3"/>
        <v>0</v>
      </c>
      <c r="I9" s="113">
        <f t="shared" si="3"/>
        <v>0</v>
      </c>
      <c r="J9" s="113">
        <f t="shared" si="3"/>
        <v>83000</v>
      </c>
      <c r="K9" s="113">
        <f t="shared" si="3"/>
        <v>0</v>
      </c>
      <c r="L9" s="113">
        <f t="shared" si="3"/>
        <v>0</v>
      </c>
      <c r="M9" s="113">
        <f t="shared" si="3"/>
        <v>0</v>
      </c>
      <c r="N9" s="114">
        <f t="shared" si="3"/>
        <v>3567.84</v>
      </c>
    </row>
    <row r="10" spans="1:15" s="23" customFormat="1" ht="21" customHeight="1" x14ac:dyDescent="0.2">
      <c r="A10" s="11">
        <v>9</v>
      </c>
      <c r="B10" s="122">
        <v>5</v>
      </c>
      <c r="C10" s="125"/>
      <c r="D10" s="108">
        <v>1</v>
      </c>
      <c r="E10" s="192" t="s">
        <v>128</v>
      </c>
      <c r="F10" s="4">
        <f t="shared" si="1"/>
        <v>83000</v>
      </c>
      <c r="G10" s="193">
        <f>'Zał. 9 do SWZ'!Z8</f>
        <v>0</v>
      </c>
      <c r="H10" s="193">
        <f>'Zał. 9 do SWZ'!AA8</f>
        <v>0</v>
      </c>
      <c r="I10" s="193">
        <f>'Zał. 9 do SWZ'!AB8</f>
        <v>0</v>
      </c>
      <c r="J10" s="63">
        <f>'Zał. 9 do SWZ'!AC8</f>
        <v>83000</v>
      </c>
      <c r="K10" s="193">
        <f>'Zał. 9 do SWZ'!AD8</f>
        <v>0</v>
      </c>
      <c r="L10" s="193">
        <f>'Zał. 9 do SWZ'!AE8</f>
        <v>0</v>
      </c>
      <c r="M10" s="193">
        <f>'Zał. 9 do SWZ'!AF8</f>
        <v>0</v>
      </c>
      <c r="N10" s="109">
        <f>'Zał. 9 do SWZ'!BM8</f>
        <v>3567.84</v>
      </c>
    </row>
    <row r="11" spans="1:15" s="23" customFormat="1" ht="21" customHeight="1" x14ac:dyDescent="0.2">
      <c r="A11" s="11">
        <v>14</v>
      </c>
      <c r="B11" s="123"/>
      <c r="C11" s="127">
        <v>2</v>
      </c>
      <c r="D11" s="79"/>
      <c r="E11" s="81" t="s">
        <v>27</v>
      </c>
      <c r="F11" s="113">
        <f t="shared" si="1"/>
        <v>1362000</v>
      </c>
      <c r="G11" s="113">
        <f t="shared" ref="G11:N11" si="4">SUM(G12:G14)</f>
        <v>0</v>
      </c>
      <c r="H11" s="113">
        <f t="shared" si="4"/>
        <v>9000</v>
      </c>
      <c r="I11" s="113">
        <f t="shared" si="4"/>
        <v>0</v>
      </c>
      <c r="J11" s="113">
        <f t="shared" si="4"/>
        <v>0</v>
      </c>
      <c r="K11" s="113">
        <f t="shared" si="4"/>
        <v>198000</v>
      </c>
      <c r="L11" s="113">
        <f t="shared" si="4"/>
        <v>0</v>
      </c>
      <c r="M11" s="113">
        <f t="shared" si="4"/>
        <v>1155000</v>
      </c>
      <c r="N11" s="114">
        <f t="shared" si="4"/>
        <v>101366.2</v>
      </c>
    </row>
    <row r="12" spans="1:15" ht="21" customHeight="1" x14ac:dyDescent="0.2">
      <c r="A12" s="11">
        <v>15</v>
      </c>
      <c r="B12" s="122">
        <v>9</v>
      </c>
      <c r="C12" s="125"/>
      <c r="D12" s="108">
        <v>1</v>
      </c>
      <c r="E12" s="60" t="s">
        <v>28</v>
      </c>
      <c r="F12" s="4">
        <f t="shared" si="1"/>
        <v>1155000</v>
      </c>
      <c r="G12" s="63">
        <f>'Zał. 9 do SWZ'!Z10</f>
        <v>0</v>
      </c>
      <c r="H12" s="63">
        <f>'Zał. 9 do SWZ'!AA10</f>
        <v>0</v>
      </c>
      <c r="I12" s="63">
        <f>'Zał. 9 do SWZ'!AB10</f>
        <v>0</v>
      </c>
      <c r="J12" s="63">
        <f>'Zał. 9 do SWZ'!AC10</f>
        <v>0</v>
      </c>
      <c r="K12" s="63">
        <f>'Zał. 9 do SWZ'!AD10</f>
        <v>0</v>
      </c>
      <c r="L12" s="63">
        <f>'Zał. 9 do SWZ'!AE10</f>
        <v>0</v>
      </c>
      <c r="M12" s="63">
        <f>'Zał. 9 do SWZ'!AF10</f>
        <v>1155000</v>
      </c>
      <c r="N12" s="109">
        <f>'Zał. 9 do SWZ'!BM10</f>
        <v>91261.93</v>
      </c>
    </row>
    <row r="13" spans="1:15" ht="21" customHeight="1" x14ac:dyDescent="0.2">
      <c r="A13" s="11">
        <v>16</v>
      </c>
      <c r="B13" s="122">
        <v>10</v>
      </c>
      <c r="C13" s="125"/>
      <c r="D13" s="108">
        <v>2</v>
      </c>
      <c r="E13" s="60" t="s">
        <v>30</v>
      </c>
      <c r="F13" s="4">
        <f t="shared" si="1"/>
        <v>198000</v>
      </c>
      <c r="G13" s="63">
        <f>'Zał. 9 do SWZ'!Z11</f>
        <v>0</v>
      </c>
      <c r="H13" s="63">
        <f>'Zał. 9 do SWZ'!AA11</f>
        <v>0</v>
      </c>
      <c r="I13" s="63">
        <f>'Zał. 9 do SWZ'!AB11</f>
        <v>0</v>
      </c>
      <c r="J13" s="63">
        <f>'Zał. 9 do SWZ'!AC11</f>
        <v>0</v>
      </c>
      <c r="K13" s="63">
        <f>'Zał. 9 do SWZ'!AD11</f>
        <v>198000</v>
      </c>
      <c r="L13" s="63">
        <f>'Zał. 9 do SWZ'!AE11</f>
        <v>0</v>
      </c>
      <c r="M13" s="63">
        <f>'Zał. 9 do SWZ'!AF11</f>
        <v>0</v>
      </c>
      <c r="N13" s="109">
        <f>'Zał. 9 do SWZ'!BM11</f>
        <v>9565.7999999999993</v>
      </c>
    </row>
    <row r="14" spans="1:15" ht="21" customHeight="1" x14ac:dyDescent="0.2">
      <c r="A14" s="11">
        <v>17</v>
      </c>
      <c r="B14" s="122">
        <v>11</v>
      </c>
      <c r="C14" s="125"/>
      <c r="D14" s="108">
        <v>3</v>
      </c>
      <c r="E14" s="60" t="s">
        <v>31</v>
      </c>
      <c r="F14" s="4">
        <f t="shared" si="1"/>
        <v>9000</v>
      </c>
      <c r="G14" s="63">
        <f>'Zał. 9 do SWZ'!Z12</f>
        <v>0</v>
      </c>
      <c r="H14" s="63">
        <f>'Zał. 9 do SWZ'!AA12</f>
        <v>9000</v>
      </c>
      <c r="I14" s="63">
        <f>'Zał. 9 do SWZ'!AB12</f>
        <v>0</v>
      </c>
      <c r="J14" s="63">
        <f>'Zał. 9 do SWZ'!AC12</f>
        <v>0</v>
      </c>
      <c r="K14" s="63">
        <f>'Zał. 9 do SWZ'!AD12</f>
        <v>0</v>
      </c>
      <c r="L14" s="63">
        <f>'Zał. 9 do SWZ'!AE12</f>
        <v>0</v>
      </c>
      <c r="M14" s="63">
        <f>'Zał. 9 do SWZ'!AF12</f>
        <v>0</v>
      </c>
      <c r="N14" s="109">
        <f>'Zał. 9 do SWZ'!BM12</f>
        <v>538.47</v>
      </c>
    </row>
    <row r="15" spans="1:15" s="23" customFormat="1" ht="21" customHeight="1" x14ac:dyDescent="0.2">
      <c r="A15" s="11">
        <v>31</v>
      </c>
      <c r="B15" s="123"/>
      <c r="C15" s="127">
        <v>3</v>
      </c>
      <c r="D15" s="79"/>
      <c r="E15" s="81" t="s">
        <v>32</v>
      </c>
      <c r="F15" s="113">
        <f t="shared" si="1"/>
        <v>4804000</v>
      </c>
      <c r="G15" s="113">
        <f t="shared" ref="G15:N15" si="5">SUM(G16:G20)</f>
        <v>0</v>
      </c>
      <c r="H15" s="113">
        <f t="shared" si="5"/>
        <v>0</v>
      </c>
      <c r="I15" s="113">
        <f t="shared" si="5"/>
        <v>0</v>
      </c>
      <c r="J15" s="113">
        <f t="shared" si="5"/>
        <v>193000</v>
      </c>
      <c r="K15" s="113">
        <f t="shared" si="5"/>
        <v>211000</v>
      </c>
      <c r="L15" s="113">
        <f t="shared" si="5"/>
        <v>0</v>
      </c>
      <c r="M15" s="113">
        <f t="shared" si="5"/>
        <v>4400000</v>
      </c>
      <c r="N15" s="114">
        <f t="shared" si="5"/>
        <v>133903.85999999999</v>
      </c>
    </row>
    <row r="16" spans="1:15" ht="21" customHeight="1" x14ac:dyDescent="0.2">
      <c r="A16" s="11">
        <v>33</v>
      </c>
      <c r="B16" s="122">
        <v>22</v>
      </c>
      <c r="C16" s="125"/>
      <c r="D16" s="108">
        <v>1</v>
      </c>
      <c r="E16" s="56" t="s">
        <v>34</v>
      </c>
      <c r="F16" s="4">
        <f t="shared" si="1"/>
        <v>90000</v>
      </c>
      <c r="G16" s="63">
        <f>'Zał. 9 do SWZ'!Z14</f>
        <v>0</v>
      </c>
      <c r="H16" s="63">
        <f>'Zał. 9 do SWZ'!AA14</f>
        <v>0</v>
      </c>
      <c r="I16" s="63">
        <f>'Zał. 9 do SWZ'!AB14</f>
        <v>0</v>
      </c>
      <c r="J16" s="63">
        <f>'Zał. 9 do SWZ'!AC14</f>
        <v>0</v>
      </c>
      <c r="K16" s="63">
        <f>'Zał. 9 do SWZ'!AD14</f>
        <v>90000</v>
      </c>
      <c r="L16" s="63">
        <f>'Zał. 9 do SWZ'!AE14</f>
        <v>0</v>
      </c>
      <c r="M16" s="63">
        <f>'Zał. 9 do SWZ'!AF14</f>
        <v>0</v>
      </c>
      <c r="N16" s="109">
        <f>'Zał. 9 do SWZ'!BM14</f>
        <v>5429.4</v>
      </c>
    </row>
    <row r="17" spans="1:21" s="32" customFormat="1" ht="21" customHeight="1" x14ac:dyDescent="0.2">
      <c r="A17" s="11">
        <v>29</v>
      </c>
      <c r="B17" s="122">
        <v>19</v>
      </c>
      <c r="C17" s="125"/>
      <c r="D17" s="108">
        <v>2</v>
      </c>
      <c r="E17" s="60" t="s">
        <v>90</v>
      </c>
      <c r="F17" s="4">
        <f t="shared" si="1"/>
        <v>154000</v>
      </c>
      <c r="G17" s="63">
        <f>'Zał. 9 do SWZ'!Z15</f>
        <v>0</v>
      </c>
      <c r="H17" s="63">
        <f>'Zał. 9 do SWZ'!AA15</f>
        <v>0</v>
      </c>
      <c r="I17" s="63">
        <f>'Zał. 9 do SWZ'!AB15</f>
        <v>0</v>
      </c>
      <c r="J17" s="63">
        <f>'Zał. 9 do SWZ'!AC15</f>
        <v>154000</v>
      </c>
      <c r="K17" s="63">
        <f>'Zał. 9 do SWZ'!AD15</f>
        <v>0</v>
      </c>
      <c r="L17" s="63">
        <f>'Zał. 9 do SWZ'!AE15</f>
        <v>0</v>
      </c>
      <c r="M17" s="63">
        <f>'Zał. 9 do SWZ'!AF15</f>
        <v>0</v>
      </c>
      <c r="N17" s="109">
        <f>'Zał. 9 do SWZ'!BM15</f>
        <v>6980.04</v>
      </c>
      <c r="O17" s="23"/>
    </row>
    <row r="18" spans="1:21" s="191" customFormat="1" ht="21" customHeight="1" x14ac:dyDescent="0.2">
      <c r="A18" s="188">
        <v>34</v>
      </c>
      <c r="B18" s="196">
        <v>23</v>
      </c>
      <c r="C18" s="197"/>
      <c r="D18" s="194">
        <v>3</v>
      </c>
      <c r="E18" s="192" t="s">
        <v>112</v>
      </c>
      <c r="F18" s="187">
        <f t="shared" ref="F18:F20" si="6">SUM(G18:M18)</f>
        <v>121000</v>
      </c>
      <c r="G18" s="193">
        <f>'Zał. 9 do SWZ'!Z16</f>
        <v>0</v>
      </c>
      <c r="H18" s="193">
        <f>'Zał. 9 do SWZ'!AA16</f>
        <v>0</v>
      </c>
      <c r="I18" s="193">
        <f>'Zał. 9 do SWZ'!AB16</f>
        <v>0</v>
      </c>
      <c r="J18" s="193">
        <f>'Zał. 9 do SWZ'!AC16</f>
        <v>0</v>
      </c>
      <c r="K18" s="193">
        <f>'Zał. 9 do SWZ'!AD16</f>
        <v>121000</v>
      </c>
      <c r="L18" s="193">
        <f>'Zał. 9 do SWZ'!AE16</f>
        <v>0</v>
      </c>
      <c r="M18" s="193">
        <f>'Zał. 9 do SWZ'!AF16</f>
        <v>0</v>
      </c>
      <c r="N18" s="195">
        <f>'Zał. 9 do SWZ'!BM16</f>
        <v>6616.7</v>
      </c>
    </row>
    <row r="19" spans="1:21" s="190" customFormat="1" ht="21" customHeight="1" x14ac:dyDescent="0.2">
      <c r="A19" s="188">
        <v>29</v>
      </c>
      <c r="B19" s="196">
        <v>19</v>
      </c>
      <c r="C19" s="197"/>
      <c r="D19" s="201">
        <v>4</v>
      </c>
      <c r="E19" s="181" t="s">
        <v>123</v>
      </c>
      <c r="F19" s="187">
        <f>SUM(G19:M19)</f>
        <v>39000</v>
      </c>
      <c r="G19" s="193">
        <f>'Zał. 9 do SWZ'!Z17</f>
        <v>0</v>
      </c>
      <c r="H19" s="193">
        <f>'Zał. 9 do SWZ'!AA17</f>
        <v>0</v>
      </c>
      <c r="I19" s="193">
        <f>'Zał. 9 do SWZ'!AB17</f>
        <v>0</v>
      </c>
      <c r="J19" s="193">
        <f>'Zał. 9 do SWZ'!AC17</f>
        <v>39000</v>
      </c>
      <c r="K19" s="193">
        <f>'Zał. 9 do SWZ'!AD17</f>
        <v>0</v>
      </c>
      <c r="L19" s="193">
        <f>'Zał. 9 do SWZ'!AE17</f>
        <v>0</v>
      </c>
      <c r="M19" s="193">
        <f>'Zał. 9 do SWZ'!AF17</f>
        <v>0</v>
      </c>
      <c r="N19" s="195">
        <f>'Zał. 9 do SWZ'!BM17</f>
        <v>1977.54</v>
      </c>
      <c r="O19" s="189"/>
    </row>
    <row r="20" spans="1:21" s="191" customFormat="1" ht="21" customHeight="1" x14ac:dyDescent="0.2">
      <c r="A20" s="188">
        <v>15</v>
      </c>
      <c r="B20" s="196">
        <v>9</v>
      </c>
      <c r="C20" s="197"/>
      <c r="D20" s="201">
        <v>5</v>
      </c>
      <c r="E20" s="181" t="s">
        <v>124</v>
      </c>
      <c r="F20" s="187">
        <f t="shared" si="6"/>
        <v>4400000</v>
      </c>
      <c r="G20" s="193">
        <f>'Zał. 9 do SWZ'!Z18</f>
        <v>0</v>
      </c>
      <c r="H20" s="193">
        <f>'Zał. 9 do SWZ'!AA18</f>
        <v>0</v>
      </c>
      <c r="I20" s="193">
        <f>'Zał. 9 do SWZ'!AB18</f>
        <v>0</v>
      </c>
      <c r="J20" s="193">
        <f>'Zał. 9 do SWZ'!AC18</f>
        <v>0</v>
      </c>
      <c r="K20" s="193">
        <f>'Zał. 9 do SWZ'!AD18</f>
        <v>0</v>
      </c>
      <c r="L20" s="193">
        <f>'Zał. 9 do SWZ'!AE18</f>
        <v>0</v>
      </c>
      <c r="M20" s="193">
        <f>'Zał. 9 do SWZ'!AF18</f>
        <v>4400000</v>
      </c>
      <c r="N20" s="195">
        <f>'Zał. 9 do SWZ'!BM18</f>
        <v>112900.18</v>
      </c>
    </row>
    <row r="21" spans="1:21" s="68" customFormat="1" ht="21" customHeight="1" x14ac:dyDescent="0.2">
      <c r="A21" s="11">
        <v>96</v>
      </c>
      <c r="B21" s="123"/>
      <c r="C21" s="127">
        <v>4</v>
      </c>
      <c r="D21" s="79"/>
      <c r="E21" s="81" t="s">
        <v>36</v>
      </c>
      <c r="F21" s="228">
        <f t="shared" ref="F21:F26" si="7">SUM(G21:M21)</f>
        <v>49500</v>
      </c>
      <c r="G21" s="113">
        <f t="shared" ref="G21:N21" si="8">SUM(G22:G22)</f>
        <v>0</v>
      </c>
      <c r="H21" s="113">
        <f t="shared" si="8"/>
        <v>0</v>
      </c>
      <c r="I21" s="113">
        <f t="shared" si="8"/>
        <v>0</v>
      </c>
      <c r="J21" s="113">
        <f t="shared" si="8"/>
        <v>49500</v>
      </c>
      <c r="K21" s="113">
        <f t="shared" si="8"/>
        <v>0</v>
      </c>
      <c r="L21" s="113">
        <f t="shared" si="8"/>
        <v>0</v>
      </c>
      <c r="M21" s="113">
        <f t="shared" si="8"/>
        <v>0</v>
      </c>
      <c r="N21" s="114">
        <f t="shared" si="8"/>
        <v>2241.2399999999998</v>
      </c>
    </row>
    <row r="22" spans="1:21" s="223" customFormat="1" ht="21" customHeight="1" x14ac:dyDescent="0.2">
      <c r="A22" s="198">
        <v>74</v>
      </c>
      <c r="B22" s="229">
        <v>43</v>
      </c>
      <c r="C22" s="230"/>
      <c r="D22" s="231">
        <v>1</v>
      </c>
      <c r="E22" s="181" t="s">
        <v>36</v>
      </c>
      <c r="F22" s="232">
        <f t="shared" ref="F22" si="9">SUM(G22:M22)</f>
        <v>49500</v>
      </c>
      <c r="G22" s="184">
        <f>'Zał. 9 do SWZ'!Z20</f>
        <v>0</v>
      </c>
      <c r="H22" s="184">
        <f>'Zał. 9 do SWZ'!AA20</f>
        <v>0</v>
      </c>
      <c r="I22" s="184">
        <f>'Zał. 9 do SWZ'!AB20</f>
        <v>0</v>
      </c>
      <c r="J22" s="184">
        <f>'Zał. 9 do SWZ'!AC20</f>
        <v>49500</v>
      </c>
      <c r="K22" s="184">
        <f>'Zał. 9 do SWZ'!AD20</f>
        <v>0</v>
      </c>
      <c r="L22" s="184">
        <f>'Zał. 9 do SWZ'!AE20</f>
        <v>0</v>
      </c>
      <c r="M22" s="184">
        <f>'Zał. 9 do SWZ'!AF20</f>
        <v>0</v>
      </c>
      <c r="N22" s="233">
        <f>'Zał. 9 do SWZ'!BM20</f>
        <v>2241.2399999999998</v>
      </c>
    </row>
    <row r="23" spans="1:21" s="23" customFormat="1" ht="21" customHeight="1" x14ac:dyDescent="0.2">
      <c r="A23" s="11">
        <v>102</v>
      </c>
      <c r="B23" s="123"/>
      <c r="C23" s="127">
        <v>5</v>
      </c>
      <c r="D23" s="79"/>
      <c r="E23" s="81" t="s">
        <v>37</v>
      </c>
      <c r="F23" s="113">
        <f t="shared" si="7"/>
        <v>77000</v>
      </c>
      <c r="G23" s="113">
        <f t="shared" ref="G23:N23" si="10">SUM(G24:G24)</f>
        <v>0</v>
      </c>
      <c r="H23" s="113">
        <f t="shared" si="10"/>
        <v>0</v>
      </c>
      <c r="I23" s="113">
        <f t="shared" si="10"/>
        <v>0</v>
      </c>
      <c r="J23" s="113">
        <f t="shared" si="10"/>
        <v>77000</v>
      </c>
      <c r="K23" s="113">
        <f t="shared" si="10"/>
        <v>0</v>
      </c>
      <c r="L23" s="113">
        <f t="shared" si="10"/>
        <v>0</v>
      </c>
      <c r="M23" s="113">
        <f t="shared" si="10"/>
        <v>0</v>
      </c>
      <c r="N23" s="114">
        <f t="shared" si="10"/>
        <v>3630.54</v>
      </c>
    </row>
    <row r="24" spans="1:21" ht="21" customHeight="1" x14ac:dyDescent="0.2">
      <c r="A24" s="11">
        <v>103</v>
      </c>
      <c r="B24" s="122">
        <v>58</v>
      </c>
      <c r="C24" s="125"/>
      <c r="D24" s="108">
        <v>1</v>
      </c>
      <c r="E24" s="60" t="s">
        <v>38</v>
      </c>
      <c r="F24" s="4">
        <f t="shared" si="7"/>
        <v>77000</v>
      </c>
      <c r="G24" s="63">
        <f>'Zał. 9 do SWZ'!Z22</f>
        <v>0</v>
      </c>
      <c r="H24" s="63">
        <f>'Zał. 9 do SWZ'!AA22</f>
        <v>0</v>
      </c>
      <c r="I24" s="63">
        <f>'Zał. 9 do SWZ'!AB22</f>
        <v>0</v>
      </c>
      <c r="J24" s="63">
        <f>'Zał. 9 do SWZ'!AC22</f>
        <v>77000</v>
      </c>
      <c r="K24" s="63">
        <f>'Zał. 9 do SWZ'!AD22</f>
        <v>0</v>
      </c>
      <c r="L24" s="63">
        <f>'Zał. 9 do SWZ'!AE22</f>
        <v>0</v>
      </c>
      <c r="M24" s="63">
        <f>'Zał. 9 do SWZ'!AF22</f>
        <v>0</v>
      </c>
      <c r="N24" s="109">
        <f>'Zał. 9 do SWZ'!BM22</f>
        <v>3630.54</v>
      </c>
    </row>
    <row r="25" spans="1:21" s="94" customFormat="1" ht="21" customHeight="1" x14ac:dyDescent="0.2">
      <c r="A25" s="188">
        <v>129</v>
      </c>
      <c r="B25" s="123"/>
      <c r="C25" s="127">
        <v>6</v>
      </c>
      <c r="D25" s="79"/>
      <c r="E25" s="81" t="s">
        <v>160</v>
      </c>
      <c r="F25" s="113">
        <f t="shared" si="7"/>
        <v>102300</v>
      </c>
      <c r="G25" s="113">
        <f>SUM(G26:G26)</f>
        <v>0</v>
      </c>
      <c r="H25" s="113">
        <f t="shared" ref="H25:N25" si="11">SUM(H26:H26)</f>
        <v>0</v>
      </c>
      <c r="I25" s="113">
        <f t="shared" si="11"/>
        <v>0</v>
      </c>
      <c r="J25" s="113">
        <f t="shared" si="11"/>
        <v>0</v>
      </c>
      <c r="K25" s="113">
        <f t="shared" si="11"/>
        <v>0</v>
      </c>
      <c r="L25" s="113">
        <f t="shared" si="11"/>
        <v>102300</v>
      </c>
      <c r="M25" s="113">
        <f t="shared" si="11"/>
        <v>0</v>
      </c>
      <c r="N25" s="113">
        <f t="shared" si="11"/>
        <v>1800.48</v>
      </c>
    </row>
    <row r="26" spans="1:21" s="94" customFormat="1" ht="21" customHeight="1" x14ac:dyDescent="0.2">
      <c r="A26" s="188">
        <v>130</v>
      </c>
      <c r="B26" s="196">
        <v>72</v>
      </c>
      <c r="C26" s="272"/>
      <c r="D26" s="273">
        <v>1</v>
      </c>
      <c r="E26" s="259" t="s">
        <v>160</v>
      </c>
      <c r="F26" s="274">
        <f t="shared" si="7"/>
        <v>102300</v>
      </c>
      <c r="G26" s="266">
        <f>'Zał. 9 do SWZ'!Z24</f>
        <v>0</v>
      </c>
      <c r="H26" s="266">
        <f>'Zał. 9 do SWZ'!AA24</f>
        <v>0</v>
      </c>
      <c r="I26" s="266">
        <f>'Zał. 9 do SWZ'!AB24</f>
        <v>0</v>
      </c>
      <c r="J26" s="266">
        <f>'Zał. 9 do SWZ'!AC24</f>
        <v>0</v>
      </c>
      <c r="K26" s="266">
        <f>'Zał. 9 do SWZ'!AD24</f>
        <v>0</v>
      </c>
      <c r="L26" s="266">
        <f>'Zał. 9 do SWZ'!AE24</f>
        <v>102300</v>
      </c>
      <c r="M26" s="266">
        <f>'Zał. 9 do SWZ'!AF24</f>
        <v>0</v>
      </c>
      <c r="N26" s="275">
        <f>'Zał. 9 do SWZ'!BM24</f>
        <v>1800.48</v>
      </c>
    </row>
    <row r="27" spans="1:21" ht="21" customHeight="1" x14ac:dyDescent="0.2">
      <c r="A27" s="11">
        <v>188</v>
      </c>
      <c r="B27" s="121"/>
      <c r="C27" s="126" t="s">
        <v>25</v>
      </c>
      <c r="D27" s="116"/>
      <c r="E27" s="71" t="s">
        <v>135</v>
      </c>
      <c r="F27" s="112">
        <f t="shared" ref="F27:F29" si="12">SUM(G27:M27)</f>
        <v>1243000</v>
      </c>
      <c r="G27" s="110">
        <f>G28+G30</f>
        <v>0</v>
      </c>
      <c r="H27" s="110">
        <f t="shared" ref="H27:M27" si="13">H28+H30</f>
        <v>0</v>
      </c>
      <c r="I27" s="110">
        <f t="shared" si="13"/>
        <v>0</v>
      </c>
      <c r="J27" s="110">
        <f t="shared" si="13"/>
        <v>0</v>
      </c>
      <c r="K27" s="110">
        <f t="shared" si="13"/>
        <v>0</v>
      </c>
      <c r="L27" s="110">
        <f t="shared" si="13"/>
        <v>1243000</v>
      </c>
      <c r="M27" s="110">
        <f t="shared" si="13"/>
        <v>0</v>
      </c>
      <c r="N27" s="111">
        <f>N28+N30</f>
        <v>69055.59</v>
      </c>
    </row>
    <row r="28" spans="1:21" s="23" customFormat="1" ht="21" customHeight="1" x14ac:dyDescent="0.2">
      <c r="A28" s="11">
        <v>189</v>
      </c>
      <c r="B28" s="123"/>
      <c r="C28" s="127">
        <v>1</v>
      </c>
      <c r="D28" s="79"/>
      <c r="E28" s="81" t="s">
        <v>132</v>
      </c>
      <c r="F28" s="113">
        <f t="shared" si="12"/>
        <v>935000</v>
      </c>
      <c r="G28" s="113">
        <f t="shared" ref="G28:N28" si="14">SUM(G29:G29)</f>
        <v>0</v>
      </c>
      <c r="H28" s="113">
        <f t="shared" si="14"/>
        <v>0</v>
      </c>
      <c r="I28" s="113">
        <f t="shared" si="14"/>
        <v>0</v>
      </c>
      <c r="J28" s="113">
        <f t="shared" si="14"/>
        <v>0</v>
      </c>
      <c r="K28" s="113">
        <f t="shared" si="14"/>
        <v>0</v>
      </c>
      <c r="L28" s="113">
        <f t="shared" si="14"/>
        <v>935000</v>
      </c>
      <c r="M28" s="113">
        <f t="shared" si="14"/>
        <v>0</v>
      </c>
      <c r="N28" s="114">
        <f t="shared" si="14"/>
        <v>55378.67</v>
      </c>
    </row>
    <row r="29" spans="1:21" s="100" customFormat="1" ht="21" customHeight="1" x14ac:dyDescent="0.2">
      <c r="A29" s="11">
        <v>190</v>
      </c>
      <c r="B29" s="122">
        <v>104</v>
      </c>
      <c r="C29" s="125"/>
      <c r="D29" s="108">
        <v>1</v>
      </c>
      <c r="E29" s="99" t="s">
        <v>132</v>
      </c>
      <c r="F29" s="4">
        <f t="shared" si="12"/>
        <v>935000</v>
      </c>
      <c r="G29" s="193">
        <f>'Zał. 9 do SWZ'!Z27</f>
        <v>0</v>
      </c>
      <c r="H29" s="193">
        <f>'Zał. 9 do SWZ'!AA27</f>
        <v>0</v>
      </c>
      <c r="I29" s="193">
        <f>'Zał. 9 do SWZ'!AB27</f>
        <v>0</v>
      </c>
      <c r="J29" s="193">
        <f>'Zał. 9 do SWZ'!AC27</f>
        <v>0</v>
      </c>
      <c r="K29" s="193">
        <f>'Zał. 9 do SWZ'!AD27</f>
        <v>0</v>
      </c>
      <c r="L29" s="63">
        <f>'Zał. 9 do SWZ'!AE27</f>
        <v>935000</v>
      </c>
      <c r="M29" s="193">
        <f>'Zał. 9 do SWZ'!AF27</f>
        <v>0</v>
      </c>
      <c r="N29" s="109">
        <f>'Zał. 9 do SWZ'!BM27</f>
        <v>55378.67</v>
      </c>
    </row>
    <row r="30" spans="1:21" s="94" customFormat="1" ht="21" customHeight="1" x14ac:dyDescent="0.2">
      <c r="A30" s="11">
        <v>205</v>
      </c>
      <c r="B30" s="123"/>
      <c r="C30" s="127">
        <v>2</v>
      </c>
      <c r="D30" s="79"/>
      <c r="E30" s="81" t="s">
        <v>41</v>
      </c>
      <c r="F30" s="113">
        <f t="shared" ref="F30:F31" si="15">SUM(G30:M30)</f>
        <v>308000</v>
      </c>
      <c r="G30" s="113">
        <f t="shared" ref="G30:N30" si="16">SUM(G31:G31)</f>
        <v>0</v>
      </c>
      <c r="H30" s="113">
        <f t="shared" si="16"/>
        <v>0</v>
      </c>
      <c r="I30" s="113">
        <f t="shared" si="16"/>
        <v>0</v>
      </c>
      <c r="J30" s="113">
        <f t="shared" si="16"/>
        <v>0</v>
      </c>
      <c r="K30" s="113">
        <f t="shared" si="16"/>
        <v>0</v>
      </c>
      <c r="L30" s="113">
        <f t="shared" si="16"/>
        <v>308000</v>
      </c>
      <c r="M30" s="113">
        <f t="shared" si="16"/>
        <v>0</v>
      </c>
      <c r="N30" s="114">
        <f t="shared" si="16"/>
        <v>13676.92</v>
      </c>
    </row>
    <row r="31" spans="1:21" s="94" customFormat="1" ht="21" customHeight="1" x14ac:dyDescent="0.2">
      <c r="A31" s="11">
        <v>206</v>
      </c>
      <c r="B31" s="122">
        <v>116</v>
      </c>
      <c r="C31" s="125"/>
      <c r="D31" s="108">
        <v>1</v>
      </c>
      <c r="E31" s="101" t="s">
        <v>42</v>
      </c>
      <c r="F31" s="4">
        <f t="shared" si="15"/>
        <v>308000</v>
      </c>
      <c r="G31" s="63">
        <f>'Zał. 9 do SWZ'!Z29</f>
        <v>0</v>
      </c>
      <c r="H31" s="63">
        <f>'Zał. 9 do SWZ'!AA29</f>
        <v>0</v>
      </c>
      <c r="I31" s="63">
        <f>'Zał. 9 do SWZ'!AB29</f>
        <v>0</v>
      </c>
      <c r="J31" s="63">
        <f>'Zał. 9 do SWZ'!AC29</f>
        <v>0</v>
      </c>
      <c r="K31" s="63">
        <f>'Zał. 9 do SWZ'!AD29</f>
        <v>0</v>
      </c>
      <c r="L31" s="63">
        <f>'Zał. 9 do SWZ'!AE29</f>
        <v>308000</v>
      </c>
      <c r="M31" s="63">
        <f>'Zał. 9 do SWZ'!AF29</f>
        <v>0</v>
      </c>
      <c r="N31" s="109">
        <f>'Zał. 9 do SWZ'!BM29</f>
        <v>13676.92</v>
      </c>
      <c r="O31" s="33"/>
      <c r="P31" s="33"/>
      <c r="Q31" s="33"/>
      <c r="R31" s="33"/>
      <c r="S31" s="33"/>
      <c r="T31" s="33"/>
      <c r="U31" s="33"/>
    </row>
  </sheetData>
  <sheetProtection selectLockedCells="1" selectUnlockedCells="1"/>
  <mergeCells count="6">
    <mergeCell ref="C4:C6"/>
    <mergeCell ref="G4:M4"/>
    <mergeCell ref="N4:N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1" manualBreakCount="1">
    <brk id="26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9 do SWZ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9 do SWZ'!Obszar_wydruku</vt:lpstr>
      <vt:lpstr>'Zał. A'!Obszar_wydruku</vt:lpstr>
      <vt:lpstr>'Zał. 9 do SWZ'!Tytuły_wydruku</vt:lpstr>
      <vt:lpstr>'Zał. 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Monika Łuniewska</cp:lastModifiedBy>
  <cp:lastPrinted>2018-05-02T09:14:34Z</cp:lastPrinted>
  <dcterms:created xsi:type="dcterms:W3CDTF">2018-04-03T06:53:16Z</dcterms:created>
  <dcterms:modified xsi:type="dcterms:W3CDTF">2022-09-20T07:32:45Z</dcterms:modified>
</cp:coreProperties>
</file>